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activeTab="3"/>
  </bookViews>
  <sheets>
    <sheet name="Лист1" sheetId="1" r:id="rId1"/>
    <sheet name="витрати" sheetId="2" r:id="rId2"/>
    <sheet name="Лист3" sheetId="3" r:id="rId3"/>
    <sheet name="Лист2" sheetId="4" r:id="rId4"/>
    <sheet name="факт" sheetId="5" r:id="rId5"/>
  </sheets>
  <definedNames/>
  <calcPr calcId="162913"/>
</workbook>
</file>

<file path=xl/sharedStrings.xml><?xml version="1.0" encoding="utf-8"?>
<sst xmlns="http://schemas.openxmlformats.org/spreadsheetml/2006/main" count="173" uniqueCount="91">
  <si>
    <t xml:space="preserve">              З А Т В Е Р Д Ж Е Н О</t>
  </si>
  <si>
    <t>згідно постанови КМУ №869 від 01.06.2011року із змінами та доповненнями</t>
  </si>
  <si>
    <t>Статті витрат</t>
  </si>
  <si>
    <t xml:space="preserve"> Потреба витрат на рік</t>
  </si>
  <si>
    <t>Рівень витрат на 1 куб.м.</t>
  </si>
  <si>
    <t>1.Виробнича собівартість усього, в тому числі</t>
  </si>
  <si>
    <t>1.1. Прямі матеріальні витрати</t>
  </si>
  <si>
    <t>Дозвіл на спецводокористування</t>
  </si>
  <si>
    <t xml:space="preserve">1.2. Інші прямі витрати, в т.ч. </t>
  </si>
  <si>
    <t>Витрати на електро енергію   31570 кВт х 2,7грн.</t>
  </si>
  <si>
    <t>ВИТРАТНІ  МАТЕРІАЛИ  ВОДОПОСТАЧАННЯ</t>
  </si>
  <si>
    <t>№ п/п</t>
  </si>
  <si>
    <t>Назва</t>
  </si>
  <si>
    <t>од.вим.</t>
  </si>
  <si>
    <t>к-ть</t>
  </si>
  <si>
    <t>шт</t>
  </si>
  <si>
    <t>м.п.</t>
  </si>
  <si>
    <t>Разом</t>
  </si>
  <si>
    <t>Сума</t>
  </si>
  <si>
    <t>Трос пломбувальний</t>
  </si>
  <si>
    <t>Труба 32 ПЕ</t>
  </si>
  <si>
    <t>Ціна за од.</t>
  </si>
  <si>
    <t>Муфта 32 *32</t>
  </si>
  <si>
    <t xml:space="preserve">Муфта 15 </t>
  </si>
  <si>
    <t>Труба 20</t>
  </si>
  <si>
    <t>Муфта 32*20</t>
  </si>
  <si>
    <t>Муфта 100</t>
  </si>
  <si>
    <t>Муфта</t>
  </si>
  <si>
    <t>Витрати на матеріали на ремонт</t>
  </si>
  <si>
    <t>Виробничі витрати на лаболаторні дослідження води</t>
  </si>
  <si>
    <t>Інвентар і канцтовари</t>
  </si>
  <si>
    <t>Інші витрати</t>
  </si>
  <si>
    <t>1.3. Загальновиробничі витрати(заробітна плата + 22%)</t>
  </si>
  <si>
    <t>3.Змінні загальновиробничі витрати податки та збори (вода і надра)</t>
  </si>
  <si>
    <t>4. Амортизація</t>
  </si>
  <si>
    <t>5. Усього витрати повної собівартості</t>
  </si>
  <si>
    <t>7. Середньозважений тариф без ПДВ, 1 куб.м</t>
  </si>
  <si>
    <t xml:space="preserve">2. Адміністративні витрати( заробітна плата +22%) </t>
  </si>
  <si>
    <t>6. Обсяг реалізації послуг споживачам, куб.м</t>
  </si>
  <si>
    <t xml:space="preserve">8. Середньозважений тариф за 1куб.м.при наявності засобу обліку води в т.ч. : </t>
  </si>
  <si>
    <t>9. За водопостачання без засобу обліку  на 1 особу,          норма 6,4 куб.м на місяць</t>
  </si>
  <si>
    <t>9.1.з дворовими колонками на місяць</t>
  </si>
  <si>
    <t>Порівняльна таблиця  тарифів Витрати</t>
  </si>
  <si>
    <t>№</t>
  </si>
  <si>
    <t xml:space="preserve"> Стаття затрат</t>
  </si>
  <si>
    <t>Заробітна плата</t>
  </si>
  <si>
    <t>Нарахування 22%</t>
  </si>
  <si>
    <t>Ремонт</t>
  </si>
  <si>
    <t>Електропостачання</t>
  </si>
  <si>
    <t>Телефон</t>
  </si>
  <si>
    <t>Канцтовари</t>
  </si>
  <si>
    <t>Обслуговування комп.пр.</t>
  </si>
  <si>
    <t>% банка</t>
  </si>
  <si>
    <t>Податки</t>
  </si>
  <si>
    <t>МШП</t>
  </si>
  <si>
    <t>Аналіз води</t>
  </si>
  <si>
    <t>Амортизація</t>
  </si>
  <si>
    <t>Диз.пал.</t>
  </si>
  <si>
    <t>Порівняльна таблиця Доходи</t>
  </si>
  <si>
    <t>Стаття Доходів</t>
  </si>
  <si>
    <t>Вода</t>
  </si>
  <si>
    <t>Послуги підкл.</t>
  </si>
  <si>
    <t>Пільга</t>
  </si>
  <si>
    <t>Субсидія</t>
  </si>
  <si>
    <t>Казнач.(п+с)</t>
  </si>
  <si>
    <t>Обкошування</t>
  </si>
  <si>
    <t>Сміття</t>
  </si>
  <si>
    <t>Різниця</t>
  </si>
  <si>
    <t xml:space="preserve">КП "Корніївський СККГ" Баришівської селищної ради </t>
  </si>
  <si>
    <t>Загальновиробничі витрати включають заробітну плату</t>
  </si>
  <si>
    <t>слюсаря аварійно - відновлювальних робіт - 59412,00 грн</t>
  </si>
  <si>
    <t>машиніста носасних установок - 59412,00грн</t>
  </si>
  <si>
    <t xml:space="preserve">контролера водопровідного господарства 0,5 ставки - 28344,00 грн </t>
  </si>
  <si>
    <t>Адміністративні витрати включають заробітну плату</t>
  </si>
  <si>
    <t>директора - 84744,00 грн</t>
  </si>
  <si>
    <t xml:space="preserve">бухгалтера - 70476,00 грн </t>
  </si>
  <si>
    <t>секретаря- 56688,00 грн</t>
  </si>
  <si>
    <t>нарахування на заробітну плату 22%</t>
  </si>
  <si>
    <t>0,21*30,5*17,6 = 112,73</t>
  </si>
  <si>
    <t xml:space="preserve"> Тариф за водопостачання без засобу обліку  на 1 особу,          норма 6,4 куб.м на місяць</t>
  </si>
  <si>
    <t>Тариф за водопостачання з дворовими колонками на місяць</t>
  </si>
  <si>
    <t>0,1*30,5*17,6 = 53,68</t>
  </si>
  <si>
    <t>Розрахунок тарифів на послуги з централізованого водопостачання</t>
  </si>
  <si>
    <t xml:space="preserve"> в.о.директора КП "Корніївський СККГ" ____________ Музичка О.М.</t>
  </si>
  <si>
    <t xml:space="preserve">слюсаря аварійно - відновлювальних робіт -  </t>
  </si>
  <si>
    <t xml:space="preserve">машиніста носасних установок - </t>
  </si>
  <si>
    <t>0,21*30,42*20,60 = 131,60</t>
  </si>
  <si>
    <t>0,1*30,42*20,60 = 62,66</t>
  </si>
  <si>
    <t xml:space="preserve">         додаток №1 до рішення від 19.02.2021 № проект     </t>
  </si>
  <si>
    <t>Секретар виконкому</t>
  </si>
  <si>
    <t>Ольга НЕСТЕРОВА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</si>
</sst>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/>
    </xf>
    <xf numFmtId="2" fontId="2" fillId="0" borderId="1" xfId="0" applyNumberFormat="1" applyFon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0" borderId="1" xfId="0" applyFont="1" applyBorder="1" applyAlignment="1">
      <alignment wrapText="1"/>
    </xf>
    <xf numFmtId="0" fontId="2" fillId="0" borderId="0" xfId="0" applyFont="1" applyBorder="1"/>
    <xf numFmtId="0" fontId="3" fillId="0" borderId="0" xfId="0" applyFont="1" applyBorder="1"/>
    <xf numFmtId="0" fontId="5" fillId="0" borderId="1" xfId="0" applyFont="1" applyBorder="1"/>
    <xf numFmtId="0" fontId="2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/>
    </xf>
    <xf numFmtId="0" fontId="7" fillId="0" borderId="0" xfId="0" applyFont="1"/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2" fontId="7" fillId="0" borderId="4" xfId="0" applyNumberFormat="1" applyFont="1" applyBorder="1"/>
    <xf numFmtId="0" fontId="6" fillId="0" borderId="5" xfId="0" applyFont="1" applyBorder="1"/>
    <xf numFmtId="0" fontId="6" fillId="0" borderId="6" xfId="0" applyFont="1" applyBorder="1" applyAlignment="1">
      <alignment/>
    </xf>
    <xf numFmtId="2" fontId="7" fillId="0" borderId="7" xfId="0" applyNumberFormat="1" applyFont="1" applyBorder="1"/>
    <xf numFmtId="2" fontId="6" fillId="2" borderId="7" xfId="0" applyNumberFormat="1" applyFont="1" applyFill="1" applyBorder="1"/>
    <xf numFmtId="2" fontId="7" fillId="2" borderId="7" xfId="0" applyNumberFormat="1" applyFont="1" applyFill="1" applyBorder="1"/>
    <xf numFmtId="2" fontId="6" fillId="0" borderId="6" xfId="0" applyNumberFormat="1" applyFont="1" applyBorder="1" applyAlignment="1">
      <alignment/>
    </xf>
    <xf numFmtId="2" fontId="7" fillId="2" borderId="1" xfId="0" applyNumberFormat="1" applyFont="1" applyFill="1" applyBorder="1"/>
    <xf numFmtId="0" fontId="6" fillId="2" borderId="8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2" fontId="7" fillId="0" borderId="1" xfId="0" applyNumberFormat="1" applyFont="1" applyBorder="1"/>
    <xf numFmtId="0" fontId="6" fillId="0" borderId="9" xfId="0" applyFont="1" applyBorder="1"/>
    <xf numFmtId="1" fontId="8" fillId="2" borderId="1" xfId="0" applyNumberFormat="1" applyFont="1" applyFill="1" applyBorder="1"/>
    <xf numFmtId="0" fontId="6" fillId="0" borderId="10" xfId="0" applyFont="1" applyBorder="1"/>
    <xf numFmtId="0" fontId="6" fillId="2" borderId="0" xfId="0" applyFont="1" applyFill="1"/>
    <xf numFmtId="0" fontId="6" fillId="0" borderId="1" xfId="0" applyFont="1" applyBorder="1"/>
    <xf numFmtId="2" fontId="7" fillId="0" borderId="9" xfId="0" applyNumberFormat="1" applyFont="1" applyBorder="1"/>
    <xf numFmtId="0" fontId="6" fillId="0" borderId="11" xfId="0" applyFont="1" applyBorder="1"/>
    <xf numFmtId="2" fontId="7" fillId="0" borderId="12" xfId="0" applyNumberFormat="1" applyFont="1" applyBorder="1"/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NumberFormat="1" applyFont="1" applyAlignment="1">
      <alignment vertical="top"/>
    </xf>
    <xf numFmtId="0" fontId="6" fillId="0" borderId="0" xfId="0" applyFont="1" applyBorder="1"/>
    <xf numFmtId="0" fontId="7" fillId="0" borderId="0" xfId="0" applyFont="1" applyAlignment="1">
      <alignment/>
    </xf>
    <xf numFmtId="0" fontId="6" fillId="2" borderId="8" xfId="0" applyFont="1" applyFill="1" applyBorder="1" applyAlignment="1">
      <alignment horizontal="left" vertical="center" wrapText="1"/>
    </xf>
    <xf numFmtId="2" fontId="7" fillId="3" borderId="1" xfId="0" applyNumberFormat="1" applyFont="1" applyFill="1" applyBorder="1"/>
    <xf numFmtId="2" fontId="7" fillId="3" borderId="7" xfId="0" applyNumberFormat="1" applyFont="1" applyFill="1" applyBorder="1"/>
    <xf numFmtId="2" fontId="6" fillId="3" borderId="7" xfId="0" applyNumberFormat="1" applyFont="1" applyFill="1" applyBorder="1"/>
    <xf numFmtId="2" fontId="7" fillId="2" borderId="4" xfId="0" applyNumberFormat="1" applyFont="1" applyFill="1" applyBorder="1"/>
    <xf numFmtId="2" fontId="6" fillId="0" borderId="0" xfId="0" applyNumberFormat="1" applyFont="1" applyAlignment="1">
      <alignment vertical="top"/>
    </xf>
    <xf numFmtId="2" fontId="6" fillId="0" borderId="0" xfId="0" applyNumberFormat="1" applyFont="1"/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2" borderId="13" xfId="0" applyFont="1" applyFill="1" applyBorder="1" applyAlignment="1">
      <alignment horizontal="left" vertical="top" wrapText="1"/>
    </xf>
    <xf numFmtId="0" fontId="6" fillId="2" borderId="14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13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2" fillId="2" borderId="22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 topLeftCell="A7">
      <selection activeCell="A32" sqref="A32"/>
    </sheetView>
  </sheetViews>
  <sheetFormatPr defaultColWidth="13.28125" defaultRowHeight="15"/>
  <cols>
    <col min="1" max="4" width="13.28125" style="18" customWidth="1"/>
    <col min="5" max="5" width="7.421875" style="18" customWidth="1"/>
    <col min="6" max="6" width="13.28125" style="18" hidden="1" customWidth="1"/>
    <col min="7" max="7" width="13.421875" style="18" customWidth="1"/>
    <col min="8" max="8" width="10.00390625" style="18" customWidth="1"/>
    <col min="9" max="9" width="13.28125" style="18" customWidth="1"/>
    <col min="10" max="10" width="7.00390625" style="18" customWidth="1"/>
    <col min="11" max="16384" width="13.28125" style="18" customWidth="1"/>
  </cols>
  <sheetData>
    <row r="1" spans="5:8" ht="15">
      <c r="E1" s="63" t="s">
        <v>0</v>
      </c>
      <c r="F1" s="63"/>
      <c r="G1" s="63"/>
      <c r="H1" s="63"/>
    </row>
    <row r="2" spans="1:9" ht="15">
      <c r="A2" s="46" t="s">
        <v>82</v>
      </c>
      <c r="B2" s="46"/>
      <c r="C2" s="46"/>
      <c r="D2" s="46"/>
      <c r="E2" s="46"/>
      <c r="F2" s="46"/>
      <c r="G2" s="46"/>
      <c r="H2" s="46"/>
      <c r="I2" s="46"/>
    </row>
    <row r="3" spans="1:9" ht="15">
      <c r="A3" s="46" t="s">
        <v>68</v>
      </c>
      <c r="B3" s="46"/>
      <c r="C3" s="46"/>
      <c r="D3" s="46"/>
      <c r="E3" s="46"/>
      <c r="F3" s="46"/>
      <c r="G3" s="46"/>
      <c r="H3" s="19"/>
      <c r="I3" s="19"/>
    </row>
    <row r="4" spans="1:2" ht="15.75" thickBot="1">
      <c r="A4" s="20"/>
      <c r="B4" s="18" t="s">
        <v>1</v>
      </c>
    </row>
    <row r="5" spans="1:8" ht="45.75" customHeight="1" thickBot="1">
      <c r="A5" s="69" t="s">
        <v>2</v>
      </c>
      <c r="B5" s="70"/>
      <c r="C5" s="70"/>
      <c r="D5" s="70"/>
      <c r="E5" s="70"/>
      <c r="F5" s="71"/>
      <c r="G5" s="21" t="s">
        <v>3</v>
      </c>
      <c r="H5" s="22" t="s">
        <v>4</v>
      </c>
    </row>
    <row r="6" spans="1:10" ht="15.75" thickBot="1">
      <c r="A6" s="72" t="s">
        <v>5</v>
      </c>
      <c r="B6" s="73"/>
      <c r="C6" s="73"/>
      <c r="D6" s="73"/>
      <c r="E6" s="73"/>
      <c r="F6" s="74"/>
      <c r="G6" s="23">
        <f>G7+G13+G15</f>
        <v>282801.95999999996</v>
      </c>
      <c r="H6" s="24">
        <f>G6/G20</f>
        <v>8.525064359569528</v>
      </c>
      <c r="I6" s="25"/>
      <c r="J6" s="19"/>
    </row>
    <row r="7" spans="1:10" ht="15.75" thickBot="1">
      <c r="A7" s="54" t="s">
        <v>6</v>
      </c>
      <c r="B7" s="55"/>
      <c r="C7" s="55"/>
      <c r="D7" s="55"/>
      <c r="E7" s="55"/>
      <c r="F7" s="56"/>
      <c r="G7" s="26">
        <f>G8+G9+G10+G11+G12</f>
        <v>97257</v>
      </c>
      <c r="H7" s="24">
        <f>G7/G20</f>
        <v>2.9318120157959786</v>
      </c>
      <c r="I7" s="25"/>
      <c r="J7" s="19"/>
    </row>
    <row r="8" spans="1:10" ht="15.75" thickBot="1">
      <c r="A8" s="57" t="s">
        <v>9</v>
      </c>
      <c r="B8" s="58"/>
      <c r="C8" s="58"/>
      <c r="D8" s="58"/>
      <c r="E8" s="58"/>
      <c r="F8" s="59"/>
      <c r="G8" s="27">
        <v>83345</v>
      </c>
      <c r="H8" s="24">
        <f>G8/G20</f>
        <v>2.512434811443041</v>
      </c>
      <c r="I8" s="25"/>
      <c r="J8" s="19"/>
    </row>
    <row r="9" spans="1:10" ht="15.75" thickBot="1">
      <c r="A9" s="57" t="s">
        <v>28</v>
      </c>
      <c r="B9" s="58"/>
      <c r="C9" s="58"/>
      <c r="D9" s="58"/>
      <c r="E9" s="58"/>
      <c r="F9" s="59"/>
      <c r="G9" s="27">
        <v>5450</v>
      </c>
      <c r="H9" s="24">
        <f>G9/G20</f>
        <v>0.16429023603532994</v>
      </c>
      <c r="I9" s="25"/>
      <c r="J9" s="19"/>
    </row>
    <row r="10" spans="1:10" ht="15.75" thickBot="1">
      <c r="A10" s="57" t="s">
        <v>7</v>
      </c>
      <c r="B10" s="58"/>
      <c r="C10" s="58"/>
      <c r="D10" s="58"/>
      <c r="E10" s="58"/>
      <c r="F10" s="59"/>
      <c r="G10" s="27">
        <v>0</v>
      </c>
      <c r="H10" s="24">
        <f>G10/G20</f>
        <v>0</v>
      </c>
      <c r="I10" s="25"/>
      <c r="J10" s="19"/>
    </row>
    <row r="11" spans="1:10" ht="19.5" customHeight="1" thickBot="1">
      <c r="A11" s="64" t="s">
        <v>30</v>
      </c>
      <c r="B11" s="65"/>
      <c r="C11" s="65"/>
      <c r="D11" s="65"/>
      <c r="E11" s="65"/>
      <c r="F11" s="66"/>
      <c r="G11" s="27">
        <f>133.4+59+375+487.5+294.96+300+470+161.5+20+0.64+940+3000</f>
        <v>6242</v>
      </c>
      <c r="H11" s="24">
        <f>G11/G20</f>
        <v>0.1881650740059687</v>
      </c>
      <c r="I11" s="25"/>
      <c r="J11" s="19"/>
    </row>
    <row r="12" spans="1:10" ht="19.5" customHeight="1" thickBot="1">
      <c r="A12" s="64" t="s">
        <v>31</v>
      </c>
      <c r="B12" s="65"/>
      <c r="C12" s="65"/>
      <c r="D12" s="65"/>
      <c r="E12" s="65"/>
      <c r="F12" s="66"/>
      <c r="G12" s="27">
        <v>2220</v>
      </c>
      <c r="H12" s="24">
        <f>G12/G20</f>
        <v>0.06692189431163899</v>
      </c>
      <c r="I12" s="25"/>
      <c r="J12" s="19"/>
    </row>
    <row r="13" spans="1:10" ht="15.75" thickBot="1">
      <c r="A13" s="54" t="s">
        <v>8</v>
      </c>
      <c r="B13" s="55"/>
      <c r="C13" s="55"/>
      <c r="D13" s="55"/>
      <c r="E13" s="55"/>
      <c r="F13" s="56"/>
      <c r="G13" s="26">
        <f>G14</f>
        <v>6000</v>
      </c>
      <c r="H13" s="24">
        <f>G13/G20</f>
        <v>0.1808699846260513</v>
      </c>
      <c r="I13" s="25"/>
      <c r="J13" s="19"/>
    </row>
    <row r="14" spans="1:10" ht="20.25" customHeight="1" thickBot="1">
      <c r="A14" s="57" t="s">
        <v>29</v>
      </c>
      <c r="B14" s="58"/>
      <c r="C14" s="58"/>
      <c r="D14" s="58"/>
      <c r="E14" s="58"/>
      <c r="F14" s="59"/>
      <c r="G14" s="27">
        <v>6000</v>
      </c>
      <c r="H14" s="24">
        <f>G14/G20</f>
        <v>0.1808699846260513</v>
      </c>
      <c r="I14" s="25"/>
      <c r="J14" s="19"/>
    </row>
    <row r="15" spans="1:10" ht="15.75" thickBot="1">
      <c r="A15" s="57" t="s">
        <v>32</v>
      </c>
      <c r="B15" s="58"/>
      <c r="C15" s="58"/>
      <c r="D15" s="58"/>
      <c r="E15" s="58"/>
      <c r="F15" s="59"/>
      <c r="G15" s="28">
        <f>59412+59412+28344+32376.96</f>
        <v>179544.96</v>
      </c>
      <c r="H15" s="24">
        <f>G15/G20</f>
        <v>5.412382359147499</v>
      </c>
      <c r="I15" s="29"/>
      <c r="J15" s="19"/>
    </row>
    <row r="16" spans="1:10" ht="15.75" thickBot="1">
      <c r="A16" s="57" t="s">
        <v>37</v>
      </c>
      <c r="B16" s="58"/>
      <c r="C16" s="58"/>
      <c r="D16" s="58"/>
      <c r="E16" s="58"/>
      <c r="F16" s="59"/>
      <c r="G16" s="30">
        <v>258527.76</v>
      </c>
      <c r="H16" s="24">
        <f>G16/G20</f>
        <v>7.793318662767914</v>
      </c>
      <c r="I16" s="25"/>
      <c r="J16" s="19"/>
    </row>
    <row r="17" spans="1:10" ht="15.75" thickBot="1">
      <c r="A17" s="57" t="s">
        <v>33</v>
      </c>
      <c r="B17" s="58"/>
      <c r="C17" s="58"/>
      <c r="D17" s="58"/>
      <c r="E17" s="58"/>
      <c r="F17" s="59"/>
      <c r="G17" s="30">
        <v>25420</v>
      </c>
      <c r="H17" s="24">
        <f>G17/G20</f>
        <v>0.766285834865704</v>
      </c>
      <c r="I17" s="25"/>
      <c r="J17" s="19"/>
    </row>
    <row r="18" spans="1:10" ht="15">
      <c r="A18" s="67" t="s">
        <v>34</v>
      </c>
      <c r="B18" s="68"/>
      <c r="C18" s="68"/>
      <c r="D18" s="68"/>
      <c r="E18" s="68"/>
      <c r="F18" s="31"/>
      <c r="G18" s="30">
        <v>17100</v>
      </c>
      <c r="H18" s="24">
        <f>G18/G20</f>
        <v>0.5154794561842462</v>
      </c>
      <c r="I18" s="32"/>
      <c r="J18" s="19"/>
    </row>
    <row r="19" spans="1:8" ht="15">
      <c r="A19" s="54" t="s">
        <v>35</v>
      </c>
      <c r="B19" s="55"/>
      <c r="C19" s="55"/>
      <c r="D19" s="55"/>
      <c r="E19" s="55"/>
      <c r="F19" s="56"/>
      <c r="G19" s="33">
        <f>G6+G16+G17+G18</f>
        <v>583849.72</v>
      </c>
      <c r="H19" s="34">
        <f>G19/G20</f>
        <v>17.600148313387393</v>
      </c>
    </row>
    <row r="20" spans="1:10" ht="15">
      <c r="A20" s="57" t="s">
        <v>38</v>
      </c>
      <c r="B20" s="58"/>
      <c r="C20" s="58"/>
      <c r="D20" s="58"/>
      <c r="E20" s="58"/>
      <c r="F20" s="59"/>
      <c r="G20" s="35">
        <v>33173</v>
      </c>
      <c r="H20" s="36"/>
      <c r="I20" s="37"/>
      <c r="J20" s="37"/>
    </row>
    <row r="21" spans="1:8" ht="15">
      <c r="A21" s="54" t="s">
        <v>36</v>
      </c>
      <c r="B21" s="55"/>
      <c r="C21" s="55"/>
      <c r="D21" s="55"/>
      <c r="E21" s="55"/>
      <c r="F21" s="56"/>
      <c r="G21" s="38"/>
      <c r="H21" s="39">
        <f>G19/G20</f>
        <v>17.600148313387393</v>
      </c>
    </row>
    <row r="22" spans="1:8" ht="15">
      <c r="A22" s="54" t="s">
        <v>39</v>
      </c>
      <c r="B22" s="55"/>
      <c r="C22" s="55"/>
      <c r="D22" s="55"/>
      <c r="E22" s="55"/>
      <c r="F22" s="56"/>
      <c r="G22" s="38"/>
      <c r="H22" s="39"/>
    </row>
    <row r="23" spans="1:8" ht="37.5" customHeight="1" thickBot="1">
      <c r="A23" s="60" t="s">
        <v>40</v>
      </c>
      <c r="B23" s="61"/>
      <c r="C23" s="61"/>
      <c r="D23" s="61"/>
      <c r="E23" s="61"/>
      <c r="F23" s="61"/>
      <c r="G23" s="40"/>
      <c r="H23" s="41">
        <v>112.73</v>
      </c>
    </row>
    <row r="24" spans="1:8" ht="24.75" customHeight="1" thickBot="1">
      <c r="A24" s="60" t="s">
        <v>41</v>
      </c>
      <c r="B24" s="61"/>
      <c r="C24" s="61"/>
      <c r="D24" s="61"/>
      <c r="E24" s="61"/>
      <c r="F24" s="61"/>
      <c r="G24" s="40"/>
      <c r="H24" s="41">
        <v>53.68</v>
      </c>
    </row>
    <row r="25" spans="1:8" ht="15">
      <c r="A25" s="42" t="s">
        <v>69</v>
      </c>
      <c r="B25" s="43"/>
      <c r="C25" s="43"/>
      <c r="D25" s="43"/>
      <c r="E25" s="43"/>
      <c r="F25" s="43"/>
      <c r="G25" s="43"/>
      <c r="H25" s="43"/>
    </row>
    <row r="26" spans="1:8" ht="15">
      <c r="A26" s="44" t="s">
        <v>70</v>
      </c>
      <c r="B26" s="43"/>
      <c r="C26" s="43"/>
      <c r="D26" s="43"/>
      <c r="E26" s="43"/>
      <c r="F26" s="43"/>
      <c r="G26" s="43"/>
      <c r="H26" s="43"/>
    </row>
    <row r="27" spans="1:8" ht="15">
      <c r="A27" s="43" t="s">
        <v>71</v>
      </c>
      <c r="B27" s="43"/>
      <c r="C27" s="43"/>
      <c r="D27" s="43"/>
      <c r="E27" s="43"/>
      <c r="F27" s="43"/>
      <c r="G27" s="43"/>
      <c r="H27" s="43"/>
    </row>
    <row r="28" spans="1:8" ht="15">
      <c r="A28" s="43" t="s">
        <v>72</v>
      </c>
      <c r="B28" s="43"/>
      <c r="C28" s="43"/>
      <c r="D28" s="43"/>
      <c r="E28" s="43"/>
      <c r="F28" s="43"/>
      <c r="G28" s="43"/>
      <c r="H28" s="43"/>
    </row>
    <row r="29" spans="1:8" ht="15">
      <c r="A29" s="43" t="s">
        <v>77</v>
      </c>
      <c r="B29" s="43"/>
      <c r="C29" s="43"/>
      <c r="D29" s="43"/>
      <c r="E29" s="43"/>
      <c r="F29" s="43"/>
      <c r="G29" s="43"/>
      <c r="H29" s="43"/>
    </row>
    <row r="30" spans="1:8" ht="15">
      <c r="A30" s="43"/>
      <c r="B30" s="43"/>
      <c r="C30" s="43"/>
      <c r="D30" s="43"/>
      <c r="E30" s="43"/>
      <c r="F30" s="43"/>
      <c r="G30" s="43"/>
      <c r="H30" s="43"/>
    </row>
    <row r="31" spans="1:8" ht="15">
      <c r="A31" s="42" t="s">
        <v>73</v>
      </c>
      <c r="B31" s="43"/>
      <c r="C31" s="43"/>
      <c r="D31" s="43"/>
      <c r="E31" s="43"/>
      <c r="F31" s="43"/>
      <c r="G31" s="43"/>
      <c r="H31" s="43"/>
    </row>
    <row r="32" spans="1:8" ht="15">
      <c r="A32" s="43" t="s">
        <v>74</v>
      </c>
      <c r="B32" s="43"/>
      <c r="C32" s="43"/>
      <c r="D32" s="43"/>
      <c r="E32" s="43"/>
      <c r="F32" s="43"/>
      <c r="G32" s="43"/>
      <c r="H32" s="43"/>
    </row>
    <row r="33" spans="1:8" ht="15">
      <c r="A33" s="43" t="s">
        <v>75</v>
      </c>
      <c r="B33" s="43"/>
      <c r="C33" s="43"/>
      <c r="D33" s="43"/>
      <c r="E33" s="43"/>
      <c r="F33" s="43"/>
      <c r="G33" s="43"/>
      <c r="H33" s="43"/>
    </row>
    <row r="34" ht="15">
      <c r="A34" s="18" t="s">
        <v>76</v>
      </c>
    </row>
    <row r="35" spans="1:6" ht="15">
      <c r="A35" s="45" t="s">
        <v>77</v>
      </c>
      <c r="B35" s="45"/>
      <c r="C35" s="45"/>
      <c r="D35" s="45"/>
      <c r="E35" s="45"/>
      <c r="F35" s="45"/>
    </row>
    <row r="36" spans="1:6" ht="15">
      <c r="A36" s="45"/>
      <c r="B36" s="45"/>
      <c r="C36" s="45"/>
      <c r="D36" s="45"/>
      <c r="E36" s="45"/>
      <c r="F36" s="45"/>
    </row>
    <row r="37" spans="1:6" ht="16.5" customHeight="1">
      <c r="A37" s="62" t="s">
        <v>79</v>
      </c>
      <c r="B37" s="62"/>
      <c r="C37" s="62"/>
      <c r="D37" s="62"/>
      <c r="E37" s="62"/>
      <c r="F37" s="62"/>
    </row>
    <row r="38" spans="1:6" ht="15">
      <c r="A38" s="62"/>
      <c r="B38" s="62"/>
      <c r="C38" s="62"/>
      <c r="D38" s="62"/>
      <c r="E38" s="62"/>
      <c r="F38" s="62"/>
    </row>
    <row r="39" spans="1:6" ht="15">
      <c r="A39" s="45" t="s">
        <v>78</v>
      </c>
      <c r="B39" s="45"/>
      <c r="C39" s="45"/>
      <c r="D39" s="45"/>
      <c r="E39" s="45"/>
      <c r="F39" s="45"/>
    </row>
    <row r="41" ht="15">
      <c r="A41" s="18" t="s">
        <v>80</v>
      </c>
    </row>
    <row r="42" ht="15">
      <c r="A42" s="18" t="s">
        <v>81</v>
      </c>
    </row>
    <row r="44" ht="15">
      <c r="A44" s="18" t="s">
        <v>83</v>
      </c>
    </row>
  </sheetData>
  <mergeCells count="22">
    <mergeCell ref="A37:F38"/>
    <mergeCell ref="E1:H1"/>
    <mergeCell ref="A19:F19"/>
    <mergeCell ref="A20:F20"/>
    <mergeCell ref="A9:F9"/>
    <mergeCell ref="A10:F10"/>
    <mergeCell ref="A13:F13"/>
    <mergeCell ref="A14:F14"/>
    <mergeCell ref="A15:F15"/>
    <mergeCell ref="A16:F16"/>
    <mergeCell ref="A11:F11"/>
    <mergeCell ref="A12:F12"/>
    <mergeCell ref="A18:E18"/>
    <mergeCell ref="A17:F17"/>
    <mergeCell ref="A5:F5"/>
    <mergeCell ref="A6:F6"/>
    <mergeCell ref="A7:F7"/>
    <mergeCell ref="A8:F8"/>
    <mergeCell ref="A24:F24"/>
    <mergeCell ref="A21:F21"/>
    <mergeCell ref="A22:F22"/>
    <mergeCell ref="A23:F2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workbookViewId="0" topLeftCell="A1">
      <selection activeCell="E13" sqref="E13"/>
    </sheetView>
  </sheetViews>
  <sheetFormatPr defaultColWidth="13.8515625" defaultRowHeight="15"/>
  <cols>
    <col min="1" max="5" width="13.8515625" style="1" customWidth="1"/>
    <col min="6" max="7" width="11.28125" style="1" customWidth="1"/>
    <col min="8" max="8" width="18.28125" style="1" customWidth="1"/>
    <col min="9" max="16384" width="13.8515625" style="1" customWidth="1"/>
  </cols>
  <sheetData>
    <row r="2" spans="1:7" ht="15">
      <c r="A2" s="80" t="s">
        <v>10</v>
      </c>
      <c r="B2" s="80"/>
      <c r="C2" s="80"/>
      <c r="D2" s="80"/>
      <c r="E2" s="80"/>
      <c r="F2" s="80"/>
      <c r="G2" s="9"/>
    </row>
    <row r="4" ht="15">
      <c r="D4" s="2"/>
    </row>
    <row r="5" spans="1:8" ht="15">
      <c r="A5" s="3" t="s">
        <v>11</v>
      </c>
      <c r="B5" s="81" t="s">
        <v>12</v>
      </c>
      <c r="C5" s="82"/>
      <c r="D5" s="83"/>
      <c r="E5" s="3" t="s">
        <v>13</v>
      </c>
      <c r="F5" s="3" t="s">
        <v>14</v>
      </c>
      <c r="G5" s="3" t="s">
        <v>21</v>
      </c>
      <c r="H5" s="3" t="s">
        <v>18</v>
      </c>
    </row>
    <row r="6" spans="1:8" ht="15">
      <c r="A6" s="4">
        <v>1</v>
      </c>
      <c r="B6" s="79" t="s">
        <v>19</v>
      </c>
      <c r="C6" s="79"/>
      <c r="D6" s="79"/>
      <c r="E6" s="5" t="s">
        <v>15</v>
      </c>
      <c r="F6" s="5">
        <v>1</v>
      </c>
      <c r="G6" s="5">
        <v>230</v>
      </c>
      <c r="H6" s="6">
        <f>F6*G6</f>
        <v>230</v>
      </c>
    </row>
    <row r="7" spans="1:8" ht="15">
      <c r="A7" s="4">
        <v>2</v>
      </c>
      <c r="B7" s="79" t="s">
        <v>20</v>
      </c>
      <c r="C7" s="79"/>
      <c r="D7" s="79"/>
      <c r="E7" s="5" t="s">
        <v>16</v>
      </c>
      <c r="F7" s="5">
        <v>10</v>
      </c>
      <c r="G7" s="5">
        <v>16</v>
      </c>
      <c r="H7" s="6">
        <f aca="true" t="shared" si="0" ref="H7:H13">F7*G7</f>
        <v>160</v>
      </c>
    </row>
    <row r="8" spans="1:8" ht="15">
      <c r="A8" s="4">
        <v>3</v>
      </c>
      <c r="B8" s="79" t="s">
        <v>22</v>
      </c>
      <c r="C8" s="79"/>
      <c r="D8" s="79"/>
      <c r="E8" s="5" t="s">
        <v>15</v>
      </c>
      <c r="F8" s="5">
        <v>2</v>
      </c>
      <c r="G8" s="5">
        <v>60</v>
      </c>
      <c r="H8" s="6">
        <f t="shared" si="0"/>
        <v>120</v>
      </c>
    </row>
    <row r="9" spans="1:8" ht="15">
      <c r="A9" s="4">
        <v>4</v>
      </c>
      <c r="B9" s="79" t="s">
        <v>23</v>
      </c>
      <c r="C9" s="79"/>
      <c r="D9" s="79"/>
      <c r="E9" s="5" t="s">
        <v>15</v>
      </c>
      <c r="F9" s="5">
        <v>1</v>
      </c>
      <c r="G9" s="5">
        <v>720</v>
      </c>
      <c r="H9" s="6">
        <f t="shared" si="0"/>
        <v>720</v>
      </c>
    </row>
    <row r="10" spans="1:8" ht="15">
      <c r="A10" s="4">
        <v>5</v>
      </c>
      <c r="B10" s="76" t="s">
        <v>24</v>
      </c>
      <c r="C10" s="77"/>
      <c r="D10" s="78"/>
      <c r="E10" s="5" t="s">
        <v>16</v>
      </c>
      <c r="F10" s="5">
        <v>30</v>
      </c>
      <c r="G10" s="5">
        <v>10</v>
      </c>
      <c r="H10" s="6">
        <f t="shared" si="0"/>
        <v>300</v>
      </c>
    </row>
    <row r="11" spans="1:8" ht="15">
      <c r="A11" s="4">
        <v>6</v>
      </c>
      <c r="B11" s="76" t="s">
        <v>25</v>
      </c>
      <c r="C11" s="77"/>
      <c r="D11" s="78"/>
      <c r="E11" s="5" t="s">
        <v>15</v>
      </c>
      <c r="F11" s="5">
        <v>4</v>
      </c>
      <c r="G11" s="5">
        <v>55</v>
      </c>
      <c r="H11" s="6">
        <f t="shared" si="0"/>
        <v>220</v>
      </c>
    </row>
    <row r="12" spans="1:8" ht="15">
      <c r="A12" s="4">
        <v>7</v>
      </c>
      <c r="B12" s="79" t="s">
        <v>26</v>
      </c>
      <c r="C12" s="79"/>
      <c r="D12" s="79"/>
      <c r="E12" s="5" t="s">
        <v>15</v>
      </c>
      <c r="F12" s="5">
        <v>2</v>
      </c>
      <c r="G12" s="5">
        <v>340</v>
      </c>
      <c r="H12" s="6">
        <f t="shared" si="0"/>
        <v>680</v>
      </c>
    </row>
    <row r="13" spans="1:8" ht="15">
      <c r="A13" s="4">
        <v>8</v>
      </c>
      <c r="B13" s="79" t="s">
        <v>27</v>
      </c>
      <c r="C13" s="79"/>
      <c r="D13" s="79"/>
      <c r="E13" s="5" t="s">
        <v>15</v>
      </c>
      <c r="F13" s="5">
        <v>1</v>
      </c>
      <c r="G13" s="5">
        <v>45</v>
      </c>
      <c r="H13" s="6">
        <f t="shared" si="0"/>
        <v>45</v>
      </c>
    </row>
    <row r="14" spans="1:8" ht="15">
      <c r="A14" s="4"/>
      <c r="B14" s="75" t="s">
        <v>17</v>
      </c>
      <c r="C14" s="75"/>
      <c r="D14" s="75"/>
      <c r="E14" s="4"/>
      <c r="F14" s="4"/>
      <c r="G14" s="4"/>
      <c r="H14" s="8">
        <f>SUM(H6:H13)</f>
        <v>2475</v>
      </c>
    </row>
  </sheetData>
  <mergeCells count="11">
    <mergeCell ref="B9:D9"/>
    <mergeCell ref="A2:F2"/>
    <mergeCell ref="B5:D5"/>
    <mergeCell ref="B6:D6"/>
    <mergeCell ref="B7:D7"/>
    <mergeCell ref="B8:D8"/>
    <mergeCell ref="B14:D14"/>
    <mergeCell ref="B10:D10"/>
    <mergeCell ref="B11:D11"/>
    <mergeCell ref="B12:D12"/>
    <mergeCell ref="B13:D1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 topLeftCell="A19">
      <selection activeCell="G34" sqref="G34"/>
    </sheetView>
  </sheetViews>
  <sheetFormatPr defaultColWidth="9.140625" defaultRowHeight="15"/>
  <cols>
    <col min="1" max="1" width="6.7109375" style="1" customWidth="1"/>
    <col min="2" max="2" width="22.8515625" style="1" customWidth="1"/>
    <col min="3" max="3" width="14.421875" style="17" customWidth="1"/>
    <col min="4" max="4" width="12.421875" style="1" customWidth="1"/>
    <col min="5" max="5" width="13.57421875" style="1" customWidth="1"/>
    <col min="6" max="6" width="11.421875" style="1" customWidth="1"/>
    <col min="7" max="7" width="11.28125" style="1" customWidth="1"/>
    <col min="8" max="16384" width="9.140625" style="1" customWidth="1"/>
  </cols>
  <sheetData>
    <row r="1" spans="1:6" ht="15">
      <c r="A1" s="84" t="s">
        <v>42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spans="1:5" ht="15">
      <c r="A3" s="10" t="s">
        <v>43</v>
      </c>
      <c r="B3" s="10" t="s">
        <v>44</v>
      </c>
      <c r="C3" s="7">
        <v>2017</v>
      </c>
      <c r="D3" s="10">
        <v>2018</v>
      </c>
      <c r="E3" s="10">
        <v>2019</v>
      </c>
    </row>
    <row r="4" spans="1:5" ht="15">
      <c r="A4" s="4">
        <v>1</v>
      </c>
      <c r="B4" s="4" t="s">
        <v>45</v>
      </c>
      <c r="C4" s="11">
        <v>115165.29</v>
      </c>
      <c r="D4" s="12">
        <f>11169+11169+12285.9+13912.26+12232.71+10133.55+11097.9+9984.41+8585.64+11037.35+11169+10669.97</f>
        <v>133446.69</v>
      </c>
      <c r="E4" s="4">
        <f>12519+12519+16274.7+15775.53+16715.3+15629.31+16579.46+16734.08+16104.6+16476.71+16894.79+21493.52</f>
        <v>193715.99999999997</v>
      </c>
    </row>
    <row r="5" spans="1:5" ht="15">
      <c r="A5" s="4">
        <v>2</v>
      </c>
      <c r="B5" s="4" t="s">
        <v>46</v>
      </c>
      <c r="C5" s="11">
        <v>21448.24</v>
      </c>
      <c r="D5" s="12">
        <f>1951.22+1951.22+2146.35+2554.74+2185.24+1892.62+1935.58+1851.6+2007.67+1940.15+1951.22+2536.6</f>
        <v>24904.21</v>
      </c>
      <c r="E5" s="4">
        <f>2187.07+2187.07+2843.19+2900.36+3107.49+3324.64+3105.87+3109.07+2984.78+2538.4+2582.35+3423.9</f>
        <v>34294.189999999995</v>
      </c>
    </row>
    <row r="6" spans="1:5" ht="15">
      <c r="A6" s="4">
        <v>3</v>
      </c>
      <c r="B6" s="4" t="s">
        <v>47</v>
      </c>
      <c r="C6" s="11">
        <f>2479+793.8</f>
        <v>3272.8</v>
      </c>
      <c r="D6" s="12">
        <f>1019.6+884+2457.5+1310</f>
        <v>5671.1</v>
      </c>
      <c r="E6" s="4">
        <f>1000+1245+5500</f>
        <v>7745</v>
      </c>
    </row>
    <row r="7" spans="1:5" ht="15">
      <c r="A7" s="4">
        <v>4</v>
      </c>
      <c r="B7" s="4" t="s">
        <v>48</v>
      </c>
      <c r="C7" s="11">
        <v>78534.04</v>
      </c>
      <c r="D7" s="12">
        <v>88976.15</v>
      </c>
      <c r="E7" s="4">
        <v>78227.42</v>
      </c>
    </row>
    <row r="8" spans="1:5" ht="15">
      <c r="A8" s="4">
        <v>5</v>
      </c>
      <c r="B8" s="4" t="s">
        <v>49</v>
      </c>
      <c r="C8" s="11">
        <f>57.6+76.71+76.63+76.6+76.6+76.6+72.6+149.27+72.72+72.6+72.87</f>
        <v>880.8000000000001</v>
      </c>
      <c r="D8" s="12">
        <f>72.6+88.99+89.3+269.68+46.11+4.61+166.45</f>
        <v>737.74</v>
      </c>
      <c r="E8" s="4">
        <f>238.25+719.8</f>
        <v>958.05</v>
      </c>
    </row>
    <row r="9" spans="1:5" ht="15">
      <c r="A9" s="4">
        <v>6</v>
      </c>
      <c r="B9" s="4" t="s">
        <v>50</v>
      </c>
      <c r="C9" s="11">
        <f>90+78.73+100+481.22+172+511+114+110+191+100+413</f>
        <v>2360.95</v>
      </c>
      <c r="D9" s="12">
        <f>229+257+822+260+210+306+452+197+112+222+531</f>
        <v>3598</v>
      </c>
      <c r="E9" s="4">
        <f>158+489.5+340+1476+100+100+1213.1+763+109.8+306+159+133.4</f>
        <v>5347.8</v>
      </c>
    </row>
    <row r="10" spans="1:5" ht="37.5">
      <c r="A10" s="4">
        <v>7</v>
      </c>
      <c r="B10" s="13" t="s">
        <v>51</v>
      </c>
      <c r="C10" s="11">
        <f>575+1500</f>
        <v>2075</v>
      </c>
      <c r="D10" s="12">
        <f>1138+1500</f>
        <v>2638</v>
      </c>
      <c r="E10" s="4">
        <f>720+1500+348+750</f>
        <v>3318</v>
      </c>
    </row>
    <row r="11" spans="1:7" ht="15">
      <c r="A11" s="4">
        <v>8</v>
      </c>
      <c r="B11" s="4" t="s">
        <v>52</v>
      </c>
      <c r="C11" s="11">
        <f>264+261+401.85+276+288.2+287.8+300.6+272.8+279.08+284+272.8+272</f>
        <v>3460.13</v>
      </c>
      <c r="D11" s="12">
        <f>264+256+101.87+434.13+34.35+526.45+348.98+467.11+118.75+144+123+411.13</f>
        <v>3229.77</v>
      </c>
      <c r="E11" s="4">
        <f>106+110+124.96+135+138.76+159+146+222+180+130+185+129</f>
        <v>1765.72</v>
      </c>
      <c r="F11" s="14"/>
      <c r="G11" s="14"/>
    </row>
    <row r="12" spans="1:7" ht="15">
      <c r="A12" s="4">
        <v>9</v>
      </c>
      <c r="B12" s="4" t="s">
        <v>53</v>
      </c>
      <c r="C12" s="11">
        <f>480+2738.66+4167.74+100+3810.03+4692.98+3768.1+142+4734.91</f>
        <v>24634.42</v>
      </c>
      <c r="D12" s="12">
        <f>100+17+528+4765.74+100+357.68+4416.16+170+4887.53+14391.89+4512.7+19158.35+401+7219.11</f>
        <v>61025.159999999996</v>
      </c>
      <c r="E12" s="4">
        <f>718.7+504+170+5345.54+580</f>
        <v>7318.24</v>
      </c>
      <c r="F12" s="14"/>
      <c r="G12" s="14"/>
    </row>
    <row r="13" spans="1:7" ht="15">
      <c r="A13" s="4">
        <v>10</v>
      </c>
      <c r="B13" s="4" t="s">
        <v>54</v>
      </c>
      <c r="C13" s="11">
        <f>914.8+250</f>
        <v>1164.8</v>
      </c>
      <c r="D13" s="12">
        <f>55+90+44</f>
        <v>189</v>
      </c>
      <c r="E13" s="4">
        <f>440+370+130</f>
        <v>940</v>
      </c>
      <c r="F13" s="14"/>
      <c r="G13" s="14"/>
    </row>
    <row r="14" spans="1:7" ht="15">
      <c r="A14" s="4">
        <v>11</v>
      </c>
      <c r="B14" s="4" t="s">
        <v>55</v>
      </c>
      <c r="C14" s="11">
        <f>1200.7+321.3</f>
        <v>1522</v>
      </c>
      <c r="D14" s="12">
        <v>1200.7</v>
      </c>
      <c r="E14" s="4"/>
      <c r="F14" s="14"/>
      <c r="G14" s="14"/>
    </row>
    <row r="15" spans="1:7" ht="15">
      <c r="A15" s="10">
        <v>12</v>
      </c>
      <c r="B15" s="4" t="s">
        <v>56</v>
      </c>
      <c r="C15" s="11">
        <f>15200.43</f>
        <v>15200.43</v>
      </c>
      <c r="D15" s="12">
        <f>3418.03+3418.03+3418.03+3418.03</f>
        <v>13672.12</v>
      </c>
      <c r="E15" s="4">
        <f>2817.03+3992.03+3992.03+4267.03</f>
        <v>15068.119999999999</v>
      </c>
      <c r="F15" s="14"/>
      <c r="G15" s="14"/>
    </row>
    <row r="16" spans="1:7" ht="15">
      <c r="A16" s="10">
        <v>13</v>
      </c>
      <c r="B16" s="4" t="s">
        <v>57</v>
      </c>
      <c r="C16" s="11"/>
      <c r="D16" s="4"/>
      <c r="E16" s="4">
        <f>294.96+2680+1315.2+5360.4+3430+1047.84+300+170</f>
        <v>14598.4</v>
      </c>
      <c r="F16" s="14"/>
      <c r="G16" s="14"/>
    </row>
    <row r="17" spans="1:7" ht="15">
      <c r="A17" s="4"/>
      <c r="B17" s="4"/>
      <c r="C17" s="7">
        <f>SUM(C4:C16)</f>
        <v>269718.89999999997</v>
      </c>
      <c r="D17" s="10">
        <f>SUM(D4:D16)</f>
        <v>339288.63999999996</v>
      </c>
      <c r="E17" s="10">
        <f>SUM(E4:E16)</f>
        <v>363296.93999999994</v>
      </c>
      <c r="F17" s="15"/>
      <c r="G17" s="14"/>
    </row>
    <row r="18" spans="1:7" ht="15">
      <c r="A18" s="4"/>
      <c r="B18" s="4"/>
      <c r="C18" s="7">
        <f>C17-C15</f>
        <v>254518.46999999997</v>
      </c>
      <c r="D18" s="10">
        <f>D17-D15</f>
        <v>325616.51999999996</v>
      </c>
      <c r="E18" s="16">
        <f>E17-E15</f>
        <v>348228.81999999995</v>
      </c>
      <c r="F18" s="14"/>
      <c r="G18" s="14"/>
    </row>
    <row r="19" spans="1:7" ht="15">
      <c r="A19" s="75" t="s">
        <v>58</v>
      </c>
      <c r="B19" s="75"/>
      <c r="C19" s="75"/>
      <c r="D19" s="75"/>
      <c r="E19" s="75"/>
      <c r="F19" s="14"/>
      <c r="G19" s="14"/>
    </row>
    <row r="20" spans="1:8" ht="15">
      <c r="A20" s="75"/>
      <c r="B20" s="75"/>
      <c r="C20" s="75"/>
      <c r="D20" s="75"/>
      <c r="E20" s="75"/>
      <c r="H20" s="14"/>
    </row>
    <row r="21" spans="1:8" ht="15">
      <c r="A21" s="10" t="s">
        <v>43</v>
      </c>
      <c r="B21" s="10" t="s">
        <v>59</v>
      </c>
      <c r="C21" s="7">
        <v>2017</v>
      </c>
      <c r="D21" s="10">
        <v>2018</v>
      </c>
      <c r="E21" s="10">
        <v>2019</v>
      </c>
      <c r="H21" s="14"/>
    </row>
    <row r="22" spans="1:8" ht="15">
      <c r="A22" s="4">
        <v>1</v>
      </c>
      <c r="B22" s="4" t="s">
        <v>60</v>
      </c>
      <c r="C22" s="11">
        <v>168370.17</v>
      </c>
      <c r="D22" s="4">
        <f>10070.54+9060.48+15549.87+9934.31+15985.72+21168.55+17369.04+18668.51+17719.41+20072.63+13149.77+14369.52</f>
        <v>183118.34999999998</v>
      </c>
      <c r="E22" s="4">
        <f>10265.69+10795.13+13509.81+22370.04+22628.34+13111.92+27193.19+21291.01+23337.77+13899.73+21263.04+20542.51+79.44+145.52+1522.44+1415.94+1643.14+1774.84+1164.08</f>
        <v>227953.58000000002</v>
      </c>
      <c r="H22" s="14"/>
    </row>
    <row r="23" spans="1:8" ht="15">
      <c r="A23" s="4">
        <v>2</v>
      </c>
      <c r="B23" s="4" t="s">
        <v>61</v>
      </c>
      <c r="C23" s="11">
        <f>150+150+50+100+200+200+50</f>
        <v>900</v>
      </c>
      <c r="D23" s="4">
        <f>100+100+150+150</f>
        <v>500</v>
      </c>
      <c r="E23" s="4">
        <f>50+100+50+50+100+100</f>
        <v>450</v>
      </c>
      <c r="H23" s="14"/>
    </row>
    <row r="24" spans="1:8" ht="15">
      <c r="A24" s="4">
        <v>3</v>
      </c>
      <c r="B24" s="4" t="s">
        <v>62</v>
      </c>
      <c r="C24" s="11">
        <v>29057.47</v>
      </c>
      <c r="D24" s="4">
        <f>4442.28+3353.08+4011.59+2030.68+4858.42+5375.57+4821.02+5026.56+5207.96+3281.52+3015.41</f>
        <v>45424.09</v>
      </c>
      <c r="E24" s="4">
        <f>2305.54+5233.24+2865.82+2267.35+2545.64+5958.76+3023.69+4193.34+4818.49+3129.93</f>
        <v>36341.799999999996</v>
      </c>
      <c r="H24" s="14"/>
    </row>
    <row r="25" spans="1:8" ht="15">
      <c r="A25" s="4">
        <v>4</v>
      </c>
      <c r="B25" s="4" t="s">
        <v>63</v>
      </c>
      <c r="C25" s="11">
        <f>23724.3+10896.52+11062.25+0.03+4804.89+4445.25+12870.66</f>
        <v>67803.9</v>
      </c>
      <c r="D25" s="4">
        <f>26781.06+26650.46+13584.64+11765.25+444+645.87+589.63+298.42+305.25+11389.48</f>
        <v>92454.06</v>
      </c>
      <c r="E25" s="4">
        <f>11681.63+10482.47+177.76+1469.64+50.72+25.36+338.08</f>
        <v>24225.66</v>
      </c>
      <c r="H25" s="14"/>
    </row>
    <row r="26" spans="1:5" ht="15">
      <c r="A26" s="4">
        <v>5</v>
      </c>
      <c r="B26" s="4" t="s">
        <v>64</v>
      </c>
      <c r="C26" s="11">
        <f>5600+585.18+228.18</f>
        <v>6413.360000000001</v>
      </c>
      <c r="D26" s="4">
        <f>338.67+2998.58</f>
        <v>3337.25</v>
      </c>
      <c r="E26" s="4"/>
    </row>
    <row r="27" spans="1:5" ht="15">
      <c r="A27" s="4">
        <v>6</v>
      </c>
      <c r="B27" s="4" t="s">
        <v>65</v>
      </c>
      <c r="C27" s="11"/>
      <c r="D27" s="4"/>
      <c r="E27" s="4">
        <f>500+3075.6+4550.8</f>
        <v>8126.4</v>
      </c>
    </row>
    <row r="28" spans="1:5" ht="15">
      <c r="A28" s="4">
        <v>7</v>
      </c>
      <c r="B28" s="4" t="s">
        <v>66</v>
      </c>
      <c r="C28" s="11"/>
      <c r="D28" s="4"/>
      <c r="E28" s="4">
        <f>4753.72+4898.58+3777.46+1908.78+1021.08+1593.24+74.92+314.92+314.72+254.76</f>
        <v>18912.179999999997</v>
      </c>
    </row>
    <row r="29" spans="1:5" ht="15">
      <c r="A29" s="4"/>
      <c r="B29" s="4"/>
      <c r="C29" s="11"/>
      <c r="D29" s="4"/>
      <c r="E29" s="4"/>
    </row>
    <row r="30" spans="1:5" s="2" customFormat="1" ht="15">
      <c r="A30" s="10"/>
      <c r="B30" s="10"/>
      <c r="C30" s="7">
        <f>SUM(C22:C29)</f>
        <v>272544.9</v>
      </c>
      <c r="D30" s="10">
        <f>SUM(D22:D28)</f>
        <v>324833.75</v>
      </c>
      <c r="E30" s="10">
        <f>SUM(E22:E29)</f>
        <v>316009.62</v>
      </c>
    </row>
    <row r="32" spans="1:5" ht="15">
      <c r="A32" s="80" t="s">
        <v>67</v>
      </c>
      <c r="B32" s="80"/>
      <c r="C32" s="17">
        <f>C30-C18</f>
        <v>18026.43000000005</v>
      </c>
      <c r="D32" s="1">
        <f>D30-D18</f>
        <v>-782.7699999999604</v>
      </c>
      <c r="E32" s="1">
        <f>E30-E18</f>
        <v>-32219.199999999953</v>
      </c>
    </row>
  </sheetData>
  <mergeCells count="3">
    <mergeCell ref="A1:F2"/>
    <mergeCell ref="A19:E20"/>
    <mergeCell ref="A32:B3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 topLeftCell="A1">
      <selection activeCell="E1" sqref="E1:H1"/>
    </sheetView>
  </sheetViews>
  <sheetFormatPr defaultColWidth="13.28125" defaultRowHeight="15"/>
  <cols>
    <col min="1" max="4" width="13.28125" style="18" customWidth="1"/>
    <col min="5" max="5" width="7.421875" style="18" customWidth="1"/>
    <col min="6" max="6" width="13.28125" style="18" hidden="1" customWidth="1"/>
    <col min="7" max="7" width="13.421875" style="18" customWidth="1"/>
    <col min="8" max="8" width="10.00390625" style="18" customWidth="1"/>
    <col min="9" max="9" width="13.28125" style="18" customWidth="1"/>
    <col min="10" max="10" width="7.00390625" style="18" customWidth="1"/>
    <col min="11" max="16384" width="13.28125" style="18" customWidth="1"/>
  </cols>
  <sheetData>
    <row r="1" spans="5:8" ht="33" customHeight="1">
      <c r="E1" s="63" t="s">
        <v>88</v>
      </c>
      <c r="F1" s="63"/>
      <c r="G1" s="63"/>
      <c r="H1" s="63"/>
    </row>
    <row r="2" spans="1:9" ht="15">
      <c r="A2" s="46" t="s">
        <v>82</v>
      </c>
      <c r="B2" s="46"/>
      <c r="C2" s="46"/>
      <c r="D2" s="46"/>
      <c r="E2" s="46"/>
      <c r="F2" s="46"/>
      <c r="G2" s="46"/>
      <c r="H2" s="46"/>
      <c r="I2" s="46"/>
    </row>
    <row r="3" spans="1:9" ht="15">
      <c r="A3" s="46" t="s">
        <v>68</v>
      </c>
      <c r="B3" s="46"/>
      <c r="C3" s="46"/>
      <c r="D3" s="46"/>
      <c r="E3" s="46"/>
      <c r="F3" s="46"/>
      <c r="G3" s="46"/>
      <c r="H3" s="19"/>
      <c r="I3" s="19"/>
    </row>
    <row r="4" spans="1:2" ht="15.75" thickBot="1">
      <c r="A4" s="20"/>
      <c r="B4" s="18" t="s">
        <v>1</v>
      </c>
    </row>
    <row r="5" spans="1:8" ht="45.75" customHeight="1" thickBot="1">
      <c r="A5" s="69" t="s">
        <v>2</v>
      </c>
      <c r="B5" s="70"/>
      <c r="C5" s="70"/>
      <c r="D5" s="70"/>
      <c r="E5" s="70"/>
      <c r="F5" s="71"/>
      <c r="G5" s="21" t="s">
        <v>3</v>
      </c>
      <c r="H5" s="22" t="s">
        <v>4</v>
      </c>
    </row>
    <row r="6" spans="1:10" ht="15.75" thickBot="1">
      <c r="A6" s="72" t="s">
        <v>5</v>
      </c>
      <c r="B6" s="73"/>
      <c r="C6" s="73"/>
      <c r="D6" s="73"/>
      <c r="E6" s="73"/>
      <c r="F6" s="74"/>
      <c r="G6" s="51">
        <f>G7+G12+G14</f>
        <v>312590.16000000003</v>
      </c>
      <c r="H6" s="24">
        <f>G6/G19</f>
        <v>9.472429090909092</v>
      </c>
      <c r="I6" s="25"/>
      <c r="J6" s="19"/>
    </row>
    <row r="7" spans="1:10" ht="15.75" thickBot="1">
      <c r="A7" s="54" t="s">
        <v>6</v>
      </c>
      <c r="B7" s="55"/>
      <c r="C7" s="55"/>
      <c r="D7" s="55"/>
      <c r="E7" s="55"/>
      <c r="F7" s="56"/>
      <c r="G7" s="28">
        <f>G8+G9+G10+G11</f>
        <v>121469.4</v>
      </c>
      <c r="H7" s="24">
        <f>G7/G19</f>
        <v>3.680890909090909</v>
      </c>
      <c r="I7" s="25"/>
      <c r="J7" s="19"/>
    </row>
    <row r="8" spans="1:10" ht="15.75" thickBot="1">
      <c r="A8" s="57" t="s">
        <v>9</v>
      </c>
      <c r="B8" s="58"/>
      <c r="C8" s="58"/>
      <c r="D8" s="58"/>
      <c r="E8" s="58"/>
      <c r="F8" s="59"/>
      <c r="G8" s="27">
        <v>71700</v>
      </c>
      <c r="H8" s="24">
        <f>G8/G19</f>
        <v>2.172727272727273</v>
      </c>
      <c r="I8" s="25"/>
      <c r="J8" s="19"/>
    </row>
    <row r="9" spans="1:10" ht="15.75" thickBot="1">
      <c r="A9" s="57" t="s">
        <v>28</v>
      </c>
      <c r="B9" s="58"/>
      <c r="C9" s="58"/>
      <c r="D9" s="58"/>
      <c r="E9" s="58"/>
      <c r="F9" s="59"/>
      <c r="G9" s="27">
        <f>35488</f>
        <v>35488</v>
      </c>
      <c r="H9" s="24">
        <f>G9/G19</f>
        <v>1.0753939393939393</v>
      </c>
      <c r="I9" s="25"/>
      <c r="J9" s="19"/>
    </row>
    <row r="10" spans="1:10" ht="19.5" customHeight="1" thickBot="1">
      <c r="A10" s="64" t="s">
        <v>30</v>
      </c>
      <c r="B10" s="65"/>
      <c r="C10" s="65"/>
      <c r="D10" s="65"/>
      <c r="E10" s="65"/>
      <c r="F10" s="66"/>
      <c r="G10" s="27">
        <v>10679.4</v>
      </c>
      <c r="H10" s="24">
        <f>G10/G19</f>
        <v>0.3236181818181818</v>
      </c>
      <c r="I10" s="25"/>
      <c r="J10" s="19"/>
    </row>
    <row r="11" spans="1:10" ht="19.5" customHeight="1" thickBot="1">
      <c r="A11" s="64" t="s">
        <v>31</v>
      </c>
      <c r="B11" s="65"/>
      <c r="C11" s="65"/>
      <c r="D11" s="65"/>
      <c r="E11" s="65"/>
      <c r="F11" s="66"/>
      <c r="G11" s="27">
        <f>3602</f>
        <v>3602</v>
      </c>
      <c r="H11" s="24">
        <f>G11/G19</f>
        <v>0.10915151515151515</v>
      </c>
      <c r="I11" s="25"/>
      <c r="J11" s="19"/>
    </row>
    <row r="12" spans="1:10" ht="15.75" thickBot="1">
      <c r="A12" s="54" t="s">
        <v>8</v>
      </c>
      <c r="B12" s="55"/>
      <c r="C12" s="55"/>
      <c r="D12" s="55"/>
      <c r="E12" s="55"/>
      <c r="F12" s="56"/>
      <c r="G12" s="28">
        <f>G13</f>
        <v>5610</v>
      </c>
      <c r="H12" s="24">
        <f>G12/G19</f>
        <v>0.17</v>
      </c>
      <c r="I12" s="25"/>
      <c r="J12" s="19"/>
    </row>
    <row r="13" spans="1:10" ht="20.25" customHeight="1" thickBot="1">
      <c r="A13" s="57" t="s">
        <v>29</v>
      </c>
      <c r="B13" s="58"/>
      <c r="C13" s="58"/>
      <c r="D13" s="58"/>
      <c r="E13" s="58"/>
      <c r="F13" s="59"/>
      <c r="G13" s="27">
        <v>5610</v>
      </c>
      <c r="H13" s="24">
        <f>G13/G19</f>
        <v>0.17</v>
      </c>
      <c r="I13" s="25"/>
      <c r="J13" s="19"/>
    </row>
    <row r="14" spans="1:10" ht="15.75" thickBot="1">
      <c r="A14" s="57" t="s">
        <v>32</v>
      </c>
      <c r="B14" s="58"/>
      <c r="C14" s="58"/>
      <c r="D14" s="58"/>
      <c r="E14" s="58"/>
      <c r="F14" s="59"/>
      <c r="G14" s="28">
        <f>G25+G26+G27</f>
        <v>185510.76</v>
      </c>
      <c r="H14" s="24">
        <f>G14/G19</f>
        <v>5.621538181818182</v>
      </c>
      <c r="I14" s="29"/>
      <c r="J14" s="19"/>
    </row>
    <row r="15" spans="1:10" ht="15.75" thickBot="1">
      <c r="A15" s="57" t="s">
        <v>37</v>
      </c>
      <c r="B15" s="58"/>
      <c r="C15" s="58"/>
      <c r="D15" s="58"/>
      <c r="E15" s="58"/>
      <c r="F15" s="59"/>
      <c r="G15" s="30">
        <f>G30+G31+G32+G33</f>
        <v>330788.36</v>
      </c>
      <c r="H15" s="24">
        <f>G15/G19</f>
        <v>10.023889696969697</v>
      </c>
      <c r="I15" s="25"/>
      <c r="J15" s="19"/>
    </row>
    <row r="16" spans="1:10" ht="15.75" thickBot="1">
      <c r="A16" s="57" t="s">
        <v>33</v>
      </c>
      <c r="B16" s="58"/>
      <c r="C16" s="58"/>
      <c r="D16" s="58"/>
      <c r="E16" s="58"/>
      <c r="F16" s="59"/>
      <c r="G16" s="30">
        <v>25700</v>
      </c>
      <c r="H16" s="24">
        <f>G16/G19</f>
        <v>0.7787878787878788</v>
      </c>
      <c r="I16" s="29"/>
      <c r="J16" s="19"/>
    </row>
    <row r="17" spans="1:10" ht="15">
      <c r="A17" s="67" t="s">
        <v>34</v>
      </c>
      <c r="B17" s="68"/>
      <c r="C17" s="68"/>
      <c r="D17" s="68"/>
      <c r="E17" s="68"/>
      <c r="F17" s="47"/>
      <c r="G17" s="30">
        <v>10852.22</v>
      </c>
      <c r="H17" s="24">
        <f>G17/G19</f>
        <v>0.3288551515151515</v>
      </c>
      <c r="I17" s="32"/>
      <c r="J17" s="19"/>
    </row>
    <row r="18" spans="1:8" ht="15">
      <c r="A18" s="54" t="s">
        <v>35</v>
      </c>
      <c r="B18" s="55"/>
      <c r="C18" s="55"/>
      <c r="D18" s="55"/>
      <c r="E18" s="55"/>
      <c r="F18" s="56"/>
      <c r="G18" s="30">
        <f>G6+G15+G16+G17</f>
        <v>679930.74</v>
      </c>
      <c r="H18" s="34">
        <f>G18/G19</f>
        <v>20.60396181818182</v>
      </c>
    </row>
    <row r="19" spans="1:10" ht="15">
      <c r="A19" s="57" t="s">
        <v>38</v>
      </c>
      <c r="B19" s="58"/>
      <c r="C19" s="58"/>
      <c r="D19" s="58"/>
      <c r="E19" s="58"/>
      <c r="F19" s="59"/>
      <c r="G19" s="35">
        <v>33000</v>
      </c>
      <c r="H19" s="36"/>
      <c r="I19" s="37"/>
      <c r="J19" s="37"/>
    </row>
    <row r="20" spans="1:8" ht="15">
      <c r="A20" s="54" t="s">
        <v>36</v>
      </c>
      <c r="B20" s="55"/>
      <c r="C20" s="55"/>
      <c r="D20" s="55"/>
      <c r="E20" s="55"/>
      <c r="F20" s="56"/>
      <c r="G20" s="38"/>
      <c r="H20" s="39">
        <f>G18/G19</f>
        <v>20.60396181818182</v>
      </c>
    </row>
    <row r="21" spans="1:8" ht="15">
      <c r="A21" s="54" t="s">
        <v>39</v>
      </c>
      <c r="B21" s="55"/>
      <c r="C21" s="55"/>
      <c r="D21" s="55"/>
      <c r="E21" s="55"/>
      <c r="F21" s="56"/>
      <c r="G21" s="38"/>
      <c r="H21" s="39"/>
    </row>
    <row r="22" spans="1:8" ht="37.5" customHeight="1" thickBot="1">
      <c r="A22" s="60" t="s">
        <v>40</v>
      </c>
      <c r="B22" s="61"/>
      <c r="C22" s="61"/>
      <c r="D22" s="61"/>
      <c r="E22" s="61"/>
      <c r="F22" s="61"/>
      <c r="G22" s="40"/>
      <c r="H22" s="41">
        <v>131.6</v>
      </c>
    </row>
    <row r="23" spans="1:8" ht="24.75" customHeight="1" thickBot="1">
      <c r="A23" s="60" t="s">
        <v>41</v>
      </c>
      <c r="B23" s="61"/>
      <c r="C23" s="61"/>
      <c r="D23" s="61"/>
      <c r="E23" s="61"/>
      <c r="F23" s="61"/>
      <c r="G23" s="40"/>
      <c r="H23" s="41">
        <v>62.66</v>
      </c>
    </row>
    <row r="24" spans="1:8" ht="15">
      <c r="A24" s="42" t="s">
        <v>69</v>
      </c>
      <c r="B24" s="43"/>
      <c r="C24" s="43"/>
      <c r="D24" s="43"/>
      <c r="E24" s="43"/>
      <c r="F24" s="43"/>
      <c r="G24" s="43"/>
      <c r="H24" s="43"/>
    </row>
    <row r="25" spans="1:8" ht="15">
      <c r="A25" s="44" t="s">
        <v>84</v>
      </c>
      <c r="B25" s="43"/>
      <c r="C25" s="43"/>
      <c r="D25" s="43"/>
      <c r="E25" s="43"/>
      <c r="F25" s="43"/>
      <c r="G25" s="52">
        <v>76029</v>
      </c>
      <c r="H25" s="43"/>
    </row>
    <row r="26" spans="1:8" ht="15">
      <c r="A26" s="43" t="s">
        <v>85</v>
      </c>
      <c r="B26" s="43"/>
      <c r="C26" s="43"/>
      <c r="D26" s="43"/>
      <c r="E26" s="43"/>
      <c r="F26" s="43"/>
      <c r="G26" s="52">
        <v>76029</v>
      </c>
      <c r="H26" s="43"/>
    </row>
    <row r="27" spans="1:8" ht="15">
      <c r="A27" s="43" t="s">
        <v>77</v>
      </c>
      <c r="B27" s="43"/>
      <c r="C27" s="43"/>
      <c r="D27" s="43"/>
      <c r="E27" s="43"/>
      <c r="F27" s="43"/>
      <c r="G27" s="43">
        <f>(G25+G26)*22%</f>
        <v>33452.76</v>
      </c>
      <c r="H27" s="43"/>
    </row>
    <row r="28" spans="1:8" ht="15">
      <c r="A28" s="43"/>
      <c r="B28" s="43"/>
      <c r="C28" s="43"/>
      <c r="D28" s="43"/>
      <c r="E28" s="43"/>
      <c r="F28" s="43"/>
      <c r="G28" s="43"/>
      <c r="H28" s="43"/>
    </row>
    <row r="29" spans="1:8" ht="15">
      <c r="A29" s="42" t="s">
        <v>73</v>
      </c>
      <c r="B29" s="43"/>
      <c r="C29" s="43"/>
      <c r="D29" s="43"/>
      <c r="E29" s="43"/>
      <c r="F29" s="43"/>
      <c r="G29" s="43"/>
      <c r="H29" s="43"/>
    </row>
    <row r="30" spans="1:8" ht="15">
      <c r="A30" s="43" t="s">
        <v>74</v>
      </c>
      <c r="B30" s="43"/>
      <c r="C30" s="43"/>
      <c r="D30" s="43"/>
      <c r="E30" s="43"/>
      <c r="F30" s="43"/>
      <c r="G30" s="52">
        <v>108436</v>
      </c>
      <c r="H30" s="43"/>
    </row>
    <row r="31" spans="1:8" ht="15">
      <c r="A31" s="43" t="s">
        <v>75</v>
      </c>
      <c r="B31" s="43"/>
      <c r="C31" s="43"/>
      <c r="D31" s="43"/>
      <c r="E31" s="43"/>
      <c r="F31" s="43"/>
      <c r="G31" s="52">
        <v>90178</v>
      </c>
      <c r="H31" s="43"/>
    </row>
    <row r="32" spans="1:7" ht="15">
      <c r="A32" s="18" t="s">
        <v>76</v>
      </c>
      <c r="G32" s="53">
        <v>72524</v>
      </c>
    </row>
    <row r="33" spans="1:7" ht="15">
      <c r="A33" s="45" t="s">
        <v>77</v>
      </c>
      <c r="B33" s="45"/>
      <c r="C33" s="45"/>
      <c r="D33" s="45"/>
      <c r="E33" s="45"/>
      <c r="F33" s="45"/>
      <c r="G33" s="18">
        <f>(G30+G31+G32)*22%</f>
        <v>59650.36</v>
      </c>
    </row>
    <row r="34" spans="1:6" ht="15">
      <c r="A34" s="45"/>
      <c r="B34" s="45"/>
      <c r="C34" s="45"/>
      <c r="D34" s="45"/>
      <c r="E34" s="45"/>
      <c r="F34" s="45"/>
    </row>
    <row r="35" spans="1:6" ht="15">
      <c r="A35" s="62" t="s">
        <v>79</v>
      </c>
      <c r="B35" s="62"/>
      <c r="C35" s="62"/>
      <c r="D35" s="62"/>
      <c r="E35" s="62"/>
      <c r="F35" s="62"/>
    </row>
    <row r="36" spans="1:6" ht="15">
      <c r="A36" s="62"/>
      <c r="B36" s="62"/>
      <c r="C36" s="62"/>
      <c r="D36" s="62"/>
      <c r="E36" s="62"/>
      <c r="F36" s="62"/>
    </row>
    <row r="37" spans="1:6" ht="15">
      <c r="A37" s="45" t="s">
        <v>86</v>
      </c>
      <c r="B37" s="45"/>
      <c r="C37" s="45"/>
      <c r="D37" s="45"/>
      <c r="E37" s="45"/>
      <c r="F37" s="45"/>
    </row>
    <row r="39" ht="15">
      <c r="A39" s="18" t="s">
        <v>80</v>
      </c>
    </row>
    <row r="40" ht="15">
      <c r="A40" s="18" t="s">
        <v>87</v>
      </c>
    </row>
    <row r="42" spans="1:7" ht="15">
      <c r="A42" s="18" t="s">
        <v>89</v>
      </c>
      <c r="G42" s="18" t="s">
        <v>90</v>
      </c>
    </row>
  </sheetData>
  <mergeCells count="21">
    <mergeCell ref="A14:F14"/>
    <mergeCell ref="E1:H1"/>
    <mergeCell ref="A5:F5"/>
    <mergeCell ref="A6:F6"/>
    <mergeCell ref="A7:F7"/>
    <mergeCell ref="A8:F8"/>
    <mergeCell ref="A9:F9"/>
    <mergeCell ref="A10:F10"/>
    <mergeCell ref="A11:F11"/>
    <mergeCell ref="A12:F12"/>
    <mergeCell ref="A13:F13"/>
    <mergeCell ref="A21:F21"/>
    <mergeCell ref="A22:F22"/>
    <mergeCell ref="A23:F23"/>
    <mergeCell ref="A35:F36"/>
    <mergeCell ref="A15:F15"/>
    <mergeCell ref="A16:F16"/>
    <mergeCell ref="A17:E17"/>
    <mergeCell ref="A18:F18"/>
    <mergeCell ref="A19:F19"/>
    <mergeCell ref="A20:F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 topLeftCell="A1">
      <selection activeCell="G9" sqref="G9"/>
    </sheetView>
  </sheetViews>
  <sheetFormatPr defaultColWidth="13.28125" defaultRowHeight="15"/>
  <cols>
    <col min="1" max="4" width="13.28125" style="18" customWidth="1"/>
    <col min="5" max="5" width="7.421875" style="18" customWidth="1"/>
    <col min="6" max="6" width="13.28125" style="18" hidden="1" customWidth="1"/>
    <col min="7" max="7" width="13.421875" style="18" customWidth="1"/>
    <col min="8" max="8" width="10.00390625" style="18" customWidth="1"/>
    <col min="9" max="9" width="13.28125" style="18" customWidth="1"/>
    <col min="10" max="10" width="7.00390625" style="18" customWidth="1"/>
    <col min="11" max="16384" width="13.28125" style="18" customWidth="1"/>
  </cols>
  <sheetData>
    <row r="1" spans="5:8" ht="15">
      <c r="E1" s="63" t="s">
        <v>0</v>
      </c>
      <c r="F1" s="63"/>
      <c r="G1" s="63"/>
      <c r="H1" s="63"/>
    </row>
    <row r="2" spans="1:9" ht="15">
      <c r="A2" s="46" t="s">
        <v>82</v>
      </c>
      <c r="B2" s="46"/>
      <c r="C2" s="46"/>
      <c r="D2" s="46"/>
      <c r="E2" s="46"/>
      <c r="F2" s="46"/>
      <c r="G2" s="46"/>
      <c r="H2" s="46"/>
      <c r="I2" s="46"/>
    </row>
    <row r="3" spans="1:9" ht="15">
      <c r="A3" s="46" t="s">
        <v>68</v>
      </c>
      <c r="B3" s="46"/>
      <c r="C3" s="46"/>
      <c r="D3" s="46"/>
      <c r="E3" s="46"/>
      <c r="F3" s="46"/>
      <c r="G3" s="46"/>
      <c r="H3" s="19"/>
      <c r="I3" s="19"/>
    </row>
    <row r="4" spans="1:2" ht="15.75" thickBot="1">
      <c r="A4" s="20"/>
      <c r="B4" s="18" t="s">
        <v>1</v>
      </c>
    </row>
    <row r="5" spans="1:8" ht="45.75" customHeight="1" thickBot="1">
      <c r="A5" s="69" t="s">
        <v>2</v>
      </c>
      <c r="B5" s="70"/>
      <c r="C5" s="70"/>
      <c r="D5" s="70"/>
      <c r="E5" s="70"/>
      <c r="F5" s="71"/>
      <c r="G5" s="21" t="s">
        <v>3</v>
      </c>
      <c r="H5" s="22" t="s">
        <v>4</v>
      </c>
    </row>
    <row r="6" spans="1:10" ht="15.75" thickBot="1">
      <c r="A6" s="72" t="s">
        <v>5</v>
      </c>
      <c r="B6" s="73"/>
      <c r="C6" s="73"/>
      <c r="D6" s="73"/>
      <c r="E6" s="73"/>
      <c r="F6" s="74"/>
      <c r="G6" s="23">
        <f>G7+G13+G15</f>
        <v>173209.77</v>
      </c>
      <c r="H6" s="24">
        <f>G6/G20</f>
        <v>5.720269815059445</v>
      </c>
      <c r="I6" s="25"/>
      <c r="J6" s="19"/>
    </row>
    <row r="7" spans="1:10" ht="15.75" thickBot="1">
      <c r="A7" s="54" t="s">
        <v>6</v>
      </c>
      <c r="B7" s="55"/>
      <c r="C7" s="55"/>
      <c r="D7" s="55"/>
      <c r="E7" s="55"/>
      <c r="F7" s="56"/>
      <c r="G7" s="26">
        <f>G8+G9+G10+G11+G12</f>
        <v>108414.95999999999</v>
      </c>
      <c r="H7" s="24">
        <f>G7/G20</f>
        <v>3.5804147952443857</v>
      </c>
      <c r="I7" s="25"/>
      <c r="J7" s="19"/>
    </row>
    <row r="8" spans="1:10" ht="15.75" thickBot="1">
      <c r="A8" s="57" t="s">
        <v>9</v>
      </c>
      <c r="B8" s="58"/>
      <c r="C8" s="58"/>
      <c r="D8" s="58"/>
      <c r="E8" s="58"/>
      <c r="F8" s="59"/>
      <c r="G8" s="50">
        <v>70183.98</v>
      </c>
      <c r="H8" s="24">
        <f>G8/G20</f>
        <v>2.3178328929986787</v>
      </c>
      <c r="I8" s="25"/>
      <c r="J8" s="19"/>
    </row>
    <row r="9" spans="1:10" ht="15.75" thickBot="1">
      <c r="A9" s="57" t="s">
        <v>28</v>
      </c>
      <c r="B9" s="58"/>
      <c r="C9" s="58"/>
      <c r="D9" s="58"/>
      <c r="E9" s="58"/>
      <c r="F9" s="59"/>
      <c r="G9" s="27">
        <v>26950</v>
      </c>
      <c r="H9" s="24">
        <f>G9/G20</f>
        <v>0.8900264200792602</v>
      </c>
      <c r="I9" s="25"/>
      <c r="J9" s="19"/>
    </row>
    <row r="10" spans="1:10" ht="15.75" thickBot="1">
      <c r="A10" s="57" t="s">
        <v>7</v>
      </c>
      <c r="B10" s="58"/>
      <c r="C10" s="58"/>
      <c r="D10" s="58"/>
      <c r="E10" s="58"/>
      <c r="F10" s="59"/>
      <c r="G10" s="27">
        <v>0</v>
      </c>
      <c r="H10" s="24">
        <f>G10/G20</f>
        <v>0</v>
      </c>
      <c r="I10" s="25"/>
      <c r="J10" s="19"/>
    </row>
    <row r="11" spans="1:10" ht="19.5" customHeight="1" thickBot="1">
      <c r="A11" s="64" t="s">
        <v>30</v>
      </c>
      <c r="B11" s="65"/>
      <c r="C11" s="65"/>
      <c r="D11" s="65"/>
      <c r="E11" s="65"/>
      <c r="F11" s="66"/>
      <c r="G11" s="50">
        <v>7679.4</v>
      </c>
      <c r="H11" s="24">
        <f>G11/G20</f>
        <v>0.2536129458388375</v>
      </c>
      <c r="I11" s="25"/>
      <c r="J11" s="19"/>
    </row>
    <row r="12" spans="1:10" ht="19.5" customHeight="1" thickBot="1">
      <c r="A12" s="64" t="s">
        <v>31</v>
      </c>
      <c r="B12" s="65"/>
      <c r="C12" s="65"/>
      <c r="D12" s="65"/>
      <c r="E12" s="65"/>
      <c r="F12" s="66"/>
      <c r="G12" s="27">
        <v>3601.58</v>
      </c>
      <c r="H12" s="24">
        <f>G12/G20</f>
        <v>0.11894253632760898</v>
      </c>
      <c r="I12" s="25"/>
      <c r="J12" s="19"/>
    </row>
    <row r="13" spans="1:10" ht="15.75" thickBot="1">
      <c r="A13" s="54" t="s">
        <v>8</v>
      </c>
      <c r="B13" s="55"/>
      <c r="C13" s="55"/>
      <c r="D13" s="55"/>
      <c r="E13" s="55"/>
      <c r="F13" s="56"/>
      <c r="G13" s="26">
        <f>G14</f>
        <v>5608</v>
      </c>
      <c r="H13" s="24">
        <f>G13/G20</f>
        <v>0.18520475561426683</v>
      </c>
      <c r="I13" s="25"/>
      <c r="J13" s="19"/>
    </row>
    <row r="14" spans="1:10" ht="20.25" customHeight="1" thickBot="1">
      <c r="A14" s="57" t="s">
        <v>29</v>
      </c>
      <c r="B14" s="58"/>
      <c r="C14" s="58"/>
      <c r="D14" s="58"/>
      <c r="E14" s="58"/>
      <c r="F14" s="59"/>
      <c r="G14" s="50">
        <v>5608</v>
      </c>
      <c r="H14" s="24">
        <f>G14/G20</f>
        <v>0.18520475561426683</v>
      </c>
      <c r="I14" s="25"/>
      <c r="J14" s="19"/>
    </row>
    <row r="15" spans="1:10" ht="15.75" thickBot="1">
      <c r="A15" s="57" t="s">
        <v>32</v>
      </c>
      <c r="B15" s="58"/>
      <c r="C15" s="58"/>
      <c r="D15" s="58"/>
      <c r="E15" s="58"/>
      <c r="F15" s="59"/>
      <c r="G15" s="49">
        <v>59186.81</v>
      </c>
      <c r="H15" s="24">
        <f>G15/G20</f>
        <v>1.9546502642007926</v>
      </c>
      <c r="I15" s="29"/>
      <c r="J15" s="19"/>
    </row>
    <row r="16" spans="1:10" ht="15.75" thickBot="1">
      <c r="A16" s="57" t="s">
        <v>37</v>
      </c>
      <c r="B16" s="58"/>
      <c r="C16" s="58"/>
      <c r="D16" s="58"/>
      <c r="E16" s="58"/>
      <c r="F16" s="59"/>
      <c r="G16" s="48">
        <v>286147.44</v>
      </c>
      <c r="H16" s="24">
        <f>G16/G20</f>
        <v>9.45004755614267</v>
      </c>
      <c r="I16" s="25"/>
      <c r="J16" s="19"/>
    </row>
    <row r="17" spans="1:10" ht="15.75" thickBot="1">
      <c r="A17" s="57" t="s">
        <v>33</v>
      </c>
      <c r="B17" s="58"/>
      <c r="C17" s="58"/>
      <c r="D17" s="58"/>
      <c r="E17" s="58"/>
      <c r="F17" s="59"/>
      <c r="G17" s="48">
        <v>25699.5</v>
      </c>
      <c r="H17" s="24">
        <f>G17/G20</f>
        <v>0.8487285336856011</v>
      </c>
      <c r="I17" s="25"/>
      <c r="J17" s="19"/>
    </row>
    <row r="18" spans="1:10" ht="15">
      <c r="A18" s="67" t="s">
        <v>34</v>
      </c>
      <c r="B18" s="68"/>
      <c r="C18" s="68"/>
      <c r="D18" s="68"/>
      <c r="E18" s="68"/>
      <c r="F18" s="47"/>
      <c r="G18" s="30">
        <v>17100</v>
      </c>
      <c r="H18" s="24">
        <f>G18/G20</f>
        <v>0.5647291941875826</v>
      </c>
      <c r="I18" s="32"/>
      <c r="J18" s="19"/>
    </row>
    <row r="19" spans="1:8" ht="15">
      <c r="A19" s="54" t="s">
        <v>35</v>
      </c>
      <c r="B19" s="55"/>
      <c r="C19" s="55"/>
      <c r="D19" s="55"/>
      <c r="E19" s="55"/>
      <c r="F19" s="56"/>
      <c r="G19" s="33">
        <f>G6+G16+G17+G18</f>
        <v>502156.70999999996</v>
      </c>
      <c r="H19" s="34">
        <f>G19/G20</f>
        <v>16.583775099075297</v>
      </c>
    </row>
    <row r="20" spans="1:10" ht="15">
      <c r="A20" s="57" t="s">
        <v>38</v>
      </c>
      <c r="B20" s="58"/>
      <c r="C20" s="58"/>
      <c r="D20" s="58"/>
      <c r="E20" s="58"/>
      <c r="F20" s="59"/>
      <c r="G20" s="35">
        <v>30280</v>
      </c>
      <c r="H20" s="36"/>
      <c r="I20" s="37"/>
      <c r="J20" s="37"/>
    </row>
    <row r="21" spans="1:8" ht="15">
      <c r="A21" s="54" t="s">
        <v>36</v>
      </c>
      <c r="B21" s="55"/>
      <c r="C21" s="55"/>
      <c r="D21" s="55"/>
      <c r="E21" s="55"/>
      <c r="F21" s="56"/>
      <c r="G21" s="38"/>
      <c r="H21" s="39">
        <f>G19/G20</f>
        <v>16.583775099075297</v>
      </c>
    </row>
    <row r="22" spans="1:8" ht="15">
      <c r="A22" s="54" t="s">
        <v>39</v>
      </c>
      <c r="B22" s="55"/>
      <c r="C22" s="55"/>
      <c r="D22" s="55"/>
      <c r="E22" s="55"/>
      <c r="F22" s="56"/>
      <c r="G22" s="38"/>
      <c r="H22" s="39"/>
    </row>
    <row r="23" spans="1:8" ht="37.5" customHeight="1" thickBot="1">
      <c r="A23" s="60" t="s">
        <v>40</v>
      </c>
      <c r="B23" s="61"/>
      <c r="C23" s="61"/>
      <c r="D23" s="61"/>
      <c r="E23" s="61"/>
      <c r="F23" s="61"/>
      <c r="G23" s="40"/>
      <c r="H23" s="41">
        <v>112.73</v>
      </c>
    </row>
    <row r="24" spans="1:8" ht="24.75" customHeight="1" thickBot="1">
      <c r="A24" s="60" t="s">
        <v>41</v>
      </c>
      <c r="B24" s="61"/>
      <c r="C24" s="61"/>
      <c r="D24" s="61"/>
      <c r="E24" s="61"/>
      <c r="F24" s="61"/>
      <c r="G24" s="40"/>
      <c r="H24" s="41">
        <v>53.68</v>
      </c>
    </row>
    <row r="25" spans="1:8" ht="15">
      <c r="A25" s="42" t="s">
        <v>69</v>
      </c>
      <c r="B25" s="43"/>
      <c r="C25" s="43"/>
      <c r="D25" s="43"/>
      <c r="E25" s="43"/>
      <c r="F25" s="43"/>
      <c r="G25" s="43"/>
      <c r="H25" s="43"/>
    </row>
    <row r="26" spans="1:8" ht="15">
      <c r="A26" s="44" t="s">
        <v>70</v>
      </c>
      <c r="B26" s="43"/>
      <c r="C26" s="43"/>
      <c r="D26" s="43"/>
      <c r="E26" s="43"/>
      <c r="F26" s="43"/>
      <c r="G26" s="43"/>
      <c r="H26" s="43"/>
    </row>
    <row r="27" spans="1:8" ht="15">
      <c r="A27" s="43" t="s">
        <v>71</v>
      </c>
      <c r="B27" s="43"/>
      <c r="C27" s="43"/>
      <c r="D27" s="43"/>
      <c r="E27" s="43"/>
      <c r="F27" s="43"/>
      <c r="G27" s="43"/>
      <c r="H27" s="43"/>
    </row>
    <row r="28" spans="1:8" ht="15">
      <c r="A28" s="43" t="s">
        <v>72</v>
      </c>
      <c r="B28" s="43"/>
      <c r="C28" s="43"/>
      <c r="D28" s="43"/>
      <c r="E28" s="43"/>
      <c r="F28" s="43"/>
      <c r="G28" s="43"/>
      <c r="H28" s="43"/>
    </row>
    <row r="29" spans="1:8" ht="15">
      <c r="A29" s="43" t="s">
        <v>77</v>
      </c>
      <c r="B29" s="43"/>
      <c r="C29" s="43"/>
      <c r="D29" s="43"/>
      <c r="E29" s="43"/>
      <c r="F29" s="43"/>
      <c r="G29" s="43"/>
      <c r="H29" s="43"/>
    </row>
    <row r="30" spans="1:8" ht="15">
      <c r="A30" s="43"/>
      <c r="B30" s="43"/>
      <c r="C30" s="43"/>
      <c r="D30" s="43"/>
      <c r="E30" s="43"/>
      <c r="F30" s="43"/>
      <c r="G30" s="43"/>
      <c r="H30" s="43"/>
    </row>
    <row r="31" spans="1:8" ht="15">
      <c r="A31" s="42" t="s">
        <v>73</v>
      </c>
      <c r="B31" s="43"/>
      <c r="C31" s="43"/>
      <c r="D31" s="43"/>
      <c r="E31" s="43"/>
      <c r="F31" s="43"/>
      <c r="G31" s="43"/>
      <c r="H31" s="43"/>
    </row>
    <row r="32" spans="1:8" ht="15">
      <c r="A32" s="43" t="s">
        <v>74</v>
      </c>
      <c r="B32" s="43"/>
      <c r="C32" s="43"/>
      <c r="D32" s="43"/>
      <c r="E32" s="43"/>
      <c r="F32" s="43"/>
      <c r="G32" s="43"/>
      <c r="H32" s="43"/>
    </row>
    <row r="33" spans="1:8" ht="15">
      <c r="A33" s="43" t="s">
        <v>75</v>
      </c>
      <c r="B33" s="43"/>
      <c r="C33" s="43"/>
      <c r="D33" s="43"/>
      <c r="E33" s="43"/>
      <c r="F33" s="43"/>
      <c r="G33" s="43"/>
      <c r="H33" s="43"/>
    </row>
    <row r="34" ht="15">
      <c r="A34" s="18" t="s">
        <v>76</v>
      </c>
    </row>
    <row r="35" spans="1:6" ht="15">
      <c r="A35" s="45" t="s">
        <v>77</v>
      </c>
      <c r="B35" s="45"/>
      <c r="C35" s="45"/>
      <c r="D35" s="45"/>
      <c r="E35" s="45"/>
      <c r="F35" s="45"/>
    </row>
    <row r="36" spans="1:6" ht="15">
      <c r="A36" s="45"/>
      <c r="B36" s="45"/>
      <c r="C36" s="45"/>
      <c r="D36" s="45"/>
      <c r="E36" s="45"/>
      <c r="F36" s="45"/>
    </row>
    <row r="37" spans="1:6" ht="15">
      <c r="A37" s="62" t="s">
        <v>79</v>
      </c>
      <c r="B37" s="62"/>
      <c r="C37" s="62"/>
      <c r="D37" s="62"/>
      <c r="E37" s="62"/>
      <c r="F37" s="62"/>
    </row>
    <row r="38" spans="1:6" ht="15">
      <c r="A38" s="62"/>
      <c r="B38" s="62"/>
      <c r="C38" s="62"/>
      <c r="D38" s="62"/>
      <c r="E38" s="62"/>
      <c r="F38" s="62"/>
    </row>
    <row r="39" spans="1:6" ht="15">
      <c r="A39" s="45" t="s">
        <v>78</v>
      </c>
      <c r="B39" s="45"/>
      <c r="C39" s="45"/>
      <c r="D39" s="45"/>
      <c r="E39" s="45"/>
      <c r="F39" s="45"/>
    </row>
    <row r="41" ht="15">
      <c r="A41" s="18" t="s">
        <v>80</v>
      </c>
    </row>
    <row r="42" ht="15">
      <c r="A42" s="18" t="s">
        <v>81</v>
      </c>
    </row>
    <row r="44" ht="15">
      <c r="A44" s="18" t="s">
        <v>83</v>
      </c>
    </row>
  </sheetData>
  <mergeCells count="22">
    <mergeCell ref="A15:F15"/>
    <mergeCell ref="E1:H1"/>
    <mergeCell ref="A5:F5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A22:F22"/>
    <mergeCell ref="A23:F23"/>
    <mergeCell ref="A24:F24"/>
    <mergeCell ref="A37:F38"/>
    <mergeCell ref="A16:F16"/>
    <mergeCell ref="A17:F17"/>
    <mergeCell ref="A18:E18"/>
    <mergeCell ref="A19:F19"/>
    <mergeCell ref="A20:F20"/>
    <mergeCell ref="A21:F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2021-02-16T07:31:25Z</dcterms:modified>
  <cp:category/>
  <cp:version/>
  <cp:contentType/>
  <cp:contentStatus/>
</cp:coreProperties>
</file>