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розрахунок" sheetId="1" r:id="rId1"/>
    <sheet name="штатний" sheetId="2" r:id="rId2"/>
    <sheet name="бюджетний запит" sheetId="3" r:id="rId3"/>
  </sheets>
  <calcPr calcId="152511"/>
</workbook>
</file>

<file path=xl/calcChain.xml><?xml version="1.0" encoding="utf-8"?>
<calcChain xmlns="http://schemas.openxmlformats.org/spreadsheetml/2006/main">
  <c r="D39" i="3" l="1"/>
  <c r="H36" i="3"/>
  <c r="G38" i="3" l="1"/>
  <c r="H38" i="3" s="1"/>
  <c r="I66" i="2" l="1"/>
  <c r="I43" i="2"/>
  <c r="K56" i="1"/>
  <c r="E73" i="2" l="1"/>
  <c r="E69" i="2"/>
  <c r="E64" i="2"/>
  <c r="E67" i="2"/>
  <c r="E62" i="2"/>
  <c r="E54" i="2"/>
  <c r="H34" i="3" l="1"/>
  <c r="H33" i="3"/>
  <c r="F31" i="3"/>
  <c r="G31" i="3" s="1"/>
  <c r="H31" i="3" s="1"/>
  <c r="H30" i="3"/>
  <c r="H28" i="3"/>
  <c r="H27" i="3" l="1"/>
  <c r="H24" i="3"/>
  <c r="F23" i="3"/>
  <c r="G23" i="3" s="1"/>
  <c r="H23" i="3" s="1"/>
  <c r="F22" i="3"/>
  <c r="G22" i="3" s="1"/>
  <c r="H22" i="3" s="1"/>
  <c r="F21" i="3"/>
  <c r="G21" i="3" s="1"/>
  <c r="H21" i="3" s="1"/>
  <c r="F20" i="3"/>
  <c r="G20" i="3" s="1"/>
  <c r="F17" i="3" l="1"/>
  <c r="G17" i="3" s="1"/>
  <c r="F16" i="3"/>
  <c r="G16" i="3" s="1"/>
  <c r="F15" i="3"/>
  <c r="G15" i="3" s="1"/>
  <c r="F14" i="3" l="1"/>
  <c r="G14" i="3" s="1"/>
  <c r="F13" i="3"/>
  <c r="G13" i="3" s="1"/>
  <c r="F12" i="3"/>
  <c r="G12" i="3" s="1"/>
  <c r="H15" i="3"/>
  <c r="H39" i="3" s="1"/>
  <c r="G32" i="3"/>
  <c r="G39" i="3" l="1"/>
  <c r="I32" i="1"/>
  <c r="L32" i="1" s="1"/>
  <c r="I46" i="1"/>
  <c r="H46" i="1" s="1"/>
  <c r="L45" i="1"/>
  <c r="I45" i="1"/>
  <c r="H45" i="1" s="1"/>
  <c r="L46" i="1" l="1"/>
  <c r="H32" i="1"/>
  <c r="I72" i="2"/>
  <c r="I71" i="2"/>
  <c r="I70" i="2"/>
  <c r="I68" i="2"/>
  <c r="I65" i="2"/>
  <c r="I61" i="2" l="1"/>
  <c r="I59" i="2"/>
  <c r="I58" i="2"/>
  <c r="I57" i="2"/>
  <c r="I56" i="2"/>
  <c r="I52" i="2" l="1"/>
  <c r="I51" i="2"/>
  <c r="I45" i="2"/>
  <c r="H25" i="2"/>
  <c r="H24" i="2"/>
  <c r="I54" i="2" l="1"/>
  <c r="H14" i="2"/>
  <c r="E23" i="2" l="1"/>
  <c r="H23" i="2"/>
  <c r="H26" i="2"/>
  <c r="E50" i="2"/>
  <c r="E74" i="2" s="1"/>
  <c r="I50" i="2"/>
  <c r="I62" i="2"/>
  <c r="I64" i="2"/>
  <c r="I67" i="2"/>
  <c r="I69" i="2"/>
  <c r="I73" i="2"/>
  <c r="I74" i="2" l="1"/>
  <c r="H27" i="2"/>
  <c r="I78" i="2" l="1"/>
  <c r="I34" i="1"/>
  <c r="H34" i="1" s="1"/>
  <c r="L34" i="1" l="1"/>
  <c r="I40" i="1"/>
  <c r="L40" i="1" s="1"/>
  <c r="I54" i="1" l="1"/>
  <c r="H54" i="1" s="1"/>
  <c r="L54" i="1" l="1"/>
  <c r="I30" i="1"/>
  <c r="I29" i="1"/>
  <c r="H29" i="1" s="1"/>
  <c r="I28" i="1"/>
  <c r="H28" i="1" s="1"/>
  <c r="I55" i="1"/>
  <c r="H55" i="1" s="1"/>
  <c r="I53" i="1"/>
  <c r="H53" i="1" s="1"/>
  <c r="I47" i="1"/>
  <c r="H47" i="1" s="1"/>
  <c r="I51" i="1"/>
  <c r="L51" i="1" s="1"/>
  <c r="I50" i="1"/>
  <c r="L50" i="1" s="1"/>
  <c r="I49" i="1"/>
  <c r="L49" i="1" s="1"/>
  <c r="I48" i="1"/>
  <c r="L48" i="1" s="1"/>
  <c r="I44" i="1"/>
  <c r="H44" i="1" s="1"/>
  <c r="I43" i="1"/>
  <c r="H43" i="1" s="1"/>
  <c r="I42" i="1"/>
  <c r="H42" i="1" s="1"/>
  <c r="I41" i="1"/>
  <c r="H41" i="1" s="1"/>
  <c r="H40" i="1"/>
  <c r="I39" i="1"/>
  <c r="H39" i="1" s="1"/>
  <c r="I38" i="1"/>
  <c r="L38" i="1" s="1"/>
  <c r="I27" i="1"/>
  <c r="H27" i="1" s="1"/>
  <c r="I26" i="1"/>
  <c r="I25" i="1"/>
  <c r="I37" i="1"/>
  <c r="H37" i="1" s="1"/>
  <c r="I36" i="1"/>
  <c r="H36" i="1" s="1"/>
  <c r="I35" i="1"/>
  <c r="H35" i="1" s="1"/>
  <c r="I33" i="1"/>
  <c r="H33" i="1" s="1"/>
  <c r="I31" i="1"/>
  <c r="H31" i="1" s="1"/>
  <c r="H30" i="1" l="1"/>
  <c r="J30" i="1"/>
  <c r="L30" i="1" s="1"/>
  <c r="H48" i="1"/>
  <c r="L53" i="1"/>
  <c r="H49" i="1"/>
  <c r="N52" i="1"/>
  <c r="H20" i="1" l="1"/>
  <c r="L20" i="1" s="1"/>
  <c r="L36" i="1" l="1"/>
  <c r="L31" i="1"/>
  <c r="L55" i="1"/>
  <c r="N55" i="1" s="1"/>
  <c r="N49" i="1"/>
  <c r="L47" i="1"/>
  <c r="N47" i="1" s="1"/>
  <c r="L44" i="1"/>
  <c r="L43" i="1"/>
  <c r="L42" i="1"/>
  <c r="L41" i="1"/>
  <c r="L37" i="1"/>
  <c r="L39" i="1"/>
  <c r="L26" i="1"/>
  <c r="L27" i="1"/>
  <c r="L28" i="1"/>
  <c r="L29" i="1"/>
  <c r="L33" i="1"/>
  <c r="L25" i="1"/>
  <c r="L35" i="1"/>
  <c r="H26" i="1"/>
  <c r="H25" i="1"/>
  <c r="H23" i="1"/>
  <c r="H22" i="1"/>
  <c r="L22" i="1" s="1"/>
  <c r="H21" i="1"/>
  <c r="L21" i="1" s="1"/>
  <c r="H17" i="1"/>
  <c r="L17" i="1" s="1"/>
  <c r="H18" i="1"/>
  <c r="L18" i="1" s="1"/>
  <c r="H19" i="1"/>
  <c r="L19" i="1" s="1"/>
  <c r="H13" i="1"/>
  <c r="L13" i="1" s="1"/>
  <c r="N46" i="1" l="1"/>
  <c r="N37" i="1"/>
  <c r="H16" i="1"/>
  <c r="L16" i="1" s="1"/>
  <c r="H15" i="1"/>
  <c r="L15" i="1" s="1"/>
  <c r="H9" i="1"/>
  <c r="H14" i="1" l="1"/>
  <c r="L14" i="1" s="1"/>
  <c r="H12" i="1"/>
  <c r="H11" i="1"/>
  <c r="H10" i="1"/>
  <c r="L12" i="1"/>
  <c r="L11" i="1"/>
  <c r="L10" i="1"/>
  <c r="L23" i="1"/>
  <c r="N35" i="1" s="1"/>
  <c r="L9" i="1"/>
  <c r="N22" i="1" l="1"/>
  <c r="N56" i="1" s="1"/>
</calcChain>
</file>

<file path=xl/sharedStrings.xml><?xml version="1.0" encoding="utf-8"?>
<sst xmlns="http://schemas.openxmlformats.org/spreadsheetml/2006/main" count="229" uniqueCount="157">
  <si>
    <t>Начальник</t>
  </si>
  <si>
    <t>Головний інженер</t>
  </si>
  <si>
    <t>Головний бухгалтер</t>
  </si>
  <si>
    <t>Головний економіст</t>
  </si>
  <si>
    <t>доплата</t>
  </si>
  <si>
    <t>середньомісячна нарма годин(2003/12)</t>
  </si>
  <si>
    <t>Двірник</t>
  </si>
  <si>
    <t>Заступник начальника</t>
  </si>
  <si>
    <t>Інженер з охорони праці</t>
  </si>
  <si>
    <t>Технічний службовець</t>
  </si>
  <si>
    <t>Паспортист</t>
  </si>
  <si>
    <t>Фахівець по кадрах</t>
  </si>
  <si>
    <t>Секретар</t>
  </si>
  <si>
    <t>Механік автоколони</t>
  </si>
  <si>
    <t>Слюсар (5р.)</t>
  </si>
  <si>
    <t>погодинно</t>
  </si>
  <si>
    <t>оклад</t>
  </si>
  <si>
    <t xml:space="preserve"> Водій       ЗІЛ 431410</t>
  </si>
  <si>
    <t xml:space="preserve">                   ГАЗ 3309</t>
  </si>
  <si>
    <t xml:space="preserve">                   ГАЗ  53</t>
  </si>
  <si>
    <t>Електромонтер    4р.</t>
  </si>
  <si>
    <t>Майстер по благоустрою</t>
  </si>
  <si>
    <t>Вантажник</t>
  </si>
  <si>
    <t>Робітник з благоустрою</t>
  </si>
  <si>
    <t>Майстер озеленювач     (сезонний)</t>
  </si>
  <si>
    <t xml:space="preserve">Сторож </t>
  </si>
  <si>
    <t>Прибиральник службових приміщень</t>
  </si>
  <si>
    <t>1993/12</t>
  </si>
  <si>
    <t>1,6 - галузева угода співвідношення  до осн. Мін.з/п п.3,3 ГУ</t>
  </si>
  <si>
    <t>коеф.професії</t>
  </si>
  <si>
    <t>Комірник</t>
  </si>
  <si>
    <t>пр. мінімум</t>
  </si>
  <si>
    <t>Начальник дільниці (доплата 10%)</t>
  </si>
  <si>
    <t>Енергетик  (доплата 10%)</t>
  </si>
  <si>
    <t>Прибирання туалету заг.кор. (10% шк)</t>
  </si>
  <si>
    <t>Робітник з обслуговування місць поховання (доплата 10%)</t>
  </si>
  <si>
    <t>Розрахунок виконав гол.економіст                                                   Косенко В.А.</t>
  </si>
  <si>
    <t>1/20%</t>
  </si>
  <si>
    <t>Водій легкового автомобіля</t>
  </si>
  <si>
    <t>"-12%"</t>
  </si>
  <si>
    <t>"-15%"</t>
  </si>
  <si>
    <t>1/25%</t>
  </si>
  <si>
    <t>Розрахунок до ШТАТНОГО РОЗПИСУ БАРИШІВСЬКОЇ ЖЕК  з 01 лютого 2019 року по 30 червня 2019 року</t>
  </si>
  <si>
    <t>№ п/п</t>
  </si>
  <si>
    <t>Назва посади (професії)</t>
  </si>
  <si>
    <t>Код по КП</t>
  </si>
  <si>
    <t>Кількість штатних одиниць</t>
  </si>
  <si>
    <t>Надбавка (доплата)</t>
  </si>
  <si>
    <t>Місячний фонд заробітної плати</t>
  </si>
  <si>
    <t>Примітки</t>
  </si>
  <si>
    <t>Апарат управління персоналом</t>
  </si>
  <si>
    <t>-</t>
  </si>
  <si>
    <t>ВСЬОГО:</t>
  </si>
  <si>
    <t>Фінансово-господарський відділ</t>
  </si>
  <si>
    <t>Професіонал (бухгалтер)</t>
  </si>
  <si>
    <t>Інспектор з  кадрів</t>
  </si>
  <si>
    <t>Приймальник побутових відходів на сміттєзвалищі</t>
  </si>
  <si>
    <t>10 % - 864.91</t>
  </si>
  <si>
    <t>10%  -864.91</t>
  </si>
  <si>
    <t>РАЗОМ:</t>
  </si>
  <si>
    <t>Гараж</t>
  </si>
  <si>
    <t>Водій ГАЗ 3309</t>
  </si>
  <si>
    <t>Водій ГАЗ 53</t>
  </si>
  <si>
    <t>Водій ЗІЛ 431410</t>
  </si>
  <si>
    <t>Тракторист (Vр.)</t>
  </si>
  <si>
    <t>Дільниця по технічному обслуговуванню і поточному ремонту інженерних мереж</t>
  </si>
  <si>
    <t>Електромонтер (ІV розряд)</t>
  </si>
  <si>
    <t>Слюсар аварійно- відновлювальних робіт</t>
  </si>
  <si>
    <t>(ІV розряд)</t>
  </si>
  <si>
    <t>ВСЬОГО</t>
  </si>
  <si>
    <t>Благоустрій</t>
  </si>
  <si>
    <t>Робітник з обслуговування місць поховання</t>
  </si>
  <si>
    <t>Ремонтно-будівельна бригада</t>
  </si>
  <si>
    <t>Прибирання прибудинкової території</t>
  </si>
  <si>
    <t>Вантажник ТПВ</t>
  </si>
  <si>
    <t>Прибирання ринків</t>
  </si>
  <si>
    <t>Обслуговуючий персонал</t>
  </si>
  <si>
    <t>Сторож</t>
  </si>
  <si>
    <t>Прибирання туалету загального користування</t>
  </si>
  <si>
    <t>Прибирання службових приміщень</t>
  </si>
  <si>
    <t>РАЗОМ</t>
  </si>
  <si>
    <t>«ПОГОДЖЕНО»</t>
  </si>
  <si>
    <t>«ЗАТВЕРДЖЕНО»</t>
  </si>
  <si>
    <t>Ш Т А Т Н И Й   Р О З П И С</t>
  </si>
  <si>
    <t xml:space="preserve">БАРИШІВСЬКОЇ ЖЕК </t>
  </si>
  <si>
    <t>Контракт</t>
  </si>
  <si>
    <t>10 % - 1377.27</t>
  </si>
  <si>
    <t>1/20% - 1812.19</t>
  </si>
  <si>
    <t>1/25% - 1750.42</t>
  </si>
  <si>
    <t xml:space="preserve">Головний економіст </t>
  </si>
  <si>
    <t>В.А. Косенко</t>
  </si>
  <si>
    <t>Диспетчер</t>
  </si>
  <si>
    <t>Водій (ТПВ)</t>
  </si>
  <si>
    <t>10%-518.95</t>
  </si>
  <si>
    <t>Озеленювач (сезонний)</t>
  </si>
  <si>
    <t>Прибиральник ринків</t>
  </si>
  <si>
    <t>Майстер озеленювач (сезонний)</t>
  </si>
  <si>
    <t xml:space="preserve">Пічник </t>
  </si>
  <si>
    <t xml:space="preserve">Голова Баришівської селищної ради 
</t>
  </si>
  <si>
    <t>_______________ О.П. Вареніченко</t>
  </si>
  <si>
    <t>_________________ Т.Г. Яременко</t>
  </si>
  <si>
    <t>«___»  ______________   2019 року</t>
  </si>
  <si>
    <t>Озеленювач (3р. Сезонний)</t>
  </si>
  <si>
    <t>Тракторист 5 р.</t>
  </si>
  <si>
    <t>Тракторист 3 р.</t>
  </si>
  <si>
    <t>1,34        1.46- галузевий коефіціент (1 раз у рік - ГУЖКГ і ПЕК І ПРОФСПІЛКОВИЙ У КОЖНОГО РІЗНИЙ ;ГУ -дод 2 і 3 і розряд</t>
  </si>
  <si>
    <t xml:space="preserve">Пічник  </t>
  </si>
  <si>
    <t>СЛЮСАР аварійно -відновлювальних робіт 4 р.</t>
  </si>
  <si>
    <t>Електрозварювальник 5р.</t>
  </si>
  <si>
    <t>станом на 01 лютого 2019 року</t>
  </si>
  <si>
    <t>Тракторист (ІІІ р.)</t>
  </si>
  <si>
    <t>БЮДЖЕТНИЙ ЗАПИТ</t>
  </si>
  <si>
    <t>з 01 лютого 2019 року</t>
  </si>
  <si>
    <t>Водій ГАЗ 3309 (за І клас водія 25%, за інтенсивність праці 5%)</t>
  </si>
  <si>
    <t>Водій ГАЗ 53 (за І клас водія 25%, за інтенсивність праці 5%)</t>
  </si>
  <si>
    <t>Водій ЗІЛ 431410 (за І клас водія 25%, за інтенсивність праці 5%)</t>
  </si>
  <si>
    <t>Тракторист Vр. (за інтенсивність праці  10%, за високу проф. майстерність 10%)</t>
  </si>
  <si>
    <t>Разом</t>
  </si>
  <si>
    <t>Тракторист ІІІ р. (інтенсивність праці 10%)</t>
  </si>
  <si>
    <t>Машиніст ескаватора V р. (інтенсивність 12%)</t>
  </si>
  <si>
    <t>Майстер по благоустрою (30% за керівництво бригадою)</t>
  </si>
  <si>
    <t>Прибиральник території</t>
  </si>
  <si>
    <t>Машиніст ескаватора (Vр.)</t>
  </si>
  <si>
    <t>Машиніст ескаватора (5р.)</t>
  </si>
  <si>
    <t>Прибиральник території (10% інтенсивність праці)</t>
  </si>
  <si>
    <t>Робітник з обслуговування місць поховання (10% інтенсивність праці)</t>
  </si>
  <si>
    <t>Вантажник (10% інтенсивність праці)</t>
  </si>
  <si>
    <t>9161(2)</t>
  </si>
  <si>
    <t>Прибирання туалету загального користування (10% інтенсивність)</t>
  </si>
  <si>
    <t>???</t>
  </si>
  <si>
    <t>Слюсар аварійно-відновлювальних робіт</t>
  </si>
  <si>
    <t>Електромонтер</t>
  </si>
  <si>
    <t>Годинна 
тарифна 
ставка</t>
  </si>
  <si>
    <t>Назва посади 
(професії)</t>
  </si>
  <si>
    <t>Назва структурного 
підрозділу</t>
  </si>
  <si>
    <t>Місячний 
фонд 
заробітної 
плати</t>
  </si>
  <si>
    <t>Надбавка
(доплата)</t>
  </si>
  <si>
    <t>Посадовий 
оклад</t>
  </si>
  <si>
    <t>Кількість 
штатних 
одиниць</t>
  </si>
  <si>
    <t>№ 
п/п</t>
  </si>
  <si>
    <t>Надбавка 
(доплата)</t>
  </si>
  <si>
    <t>Код по 
КП</t>
  </si>
  <si>
    <t>Штат спеціалістів та технічних службовців в кількості 20 штатних одиниць з місячним фондом заробітної плати –196248.50 грн. 
Начальник Баришівської ЖЕК</t>
  </si>
  <si>
    <t>Слюсар
(V розряд)</t>
  </si>
  <si>
    <t>Електрозварювальник
(V розряд)</t>
  </si>
  <si>
    <t>9161 (2)</t>
  </si>
  <si>
    <t>Код за 
ДК 003:2010</t>
  </si>
  <si>
    <t xml:space="preserve">                   ТПВ (доплата 20%)</t>
  </si>
  <si>
    <t>20%-1777.03</t>
  </si>
  <si>
    <t>Штат спеціалістів та технічних службовців в кількості 93,8 штатних одиниць 
з місячним фондом заробітної плати – 554 495,37 грн.
Начальник Баришівської ЖЕК</t>
  </si>
  <si>
    <t xml:space="preserve">
Начальник дільниці</t>
  </si>
  <si>
    <t>Енергетик</t>
  </si>
  <si>
    <t>Начальник дільниці (10% інтенсивність)</t>
  </si>
  <si>
    <t>Слюсар V р.</t>
  </si>
  <si>
    <t>Електрозварювальник V р.</t>
  </si>
  <si>
    <t>«Затверджено»</t>
  </si>
  <si>
    <t>Рішення селищної ради № 79-05-07 від 21.02.2019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</si>
</sst>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#,##0.00_ ;\-#,##0.00\ 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u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2" fontId="0" fillId="0" borderId="0" xfId="0" applyNumberFormat="1"/>
    <xf numFmtId="0" fontId="2" fillId="0" borderId="0" xfId="0" applyFont="1"/>
    <xf numFmtId="0" fontId="2" fillId="0" borderId="9" xfId="0" applyFont="1" applyBorder="1"/>
    <xf numFmtId="0" fontId="2" fillId="0" borderId="1" xfId="0" applyFont="1" applyBorder="1"/>
    <xf numFmtId="0" fontId="3" fillId="0" borderId="2" xfId="0" applyFont="1" applyBorder="1"/>
    <xf numFmtId="0" fontId="4" fillId="0" borderId="12" xfId="0" applyFont="1" applyBorder="1"/>
    <xf numFmtId="0" fontId="2" fillId="0" borderId="3" xfId="0" applyFont="1" applyBorder="1"/>
    <xf numFmtId="0" fontId="3" fillId="0" borderId="10" xfId="0" applyFont="1" applyBorder="1"/>
    <xf numFmtId="0" fontId="2" fillId="0" borderId="4" xfId="0" applyFont="1" applyBorder="1"/>
    <xf numFmtId="0" fontId="2" fillId="0" borderId="0" xfId="0" applyFont="1" applyBorder="1"/>
    <xf numFmtId="2" fontId="2" fillId="0" borderId="10" xfId="0" applyNumberFormat="1" applyFont="1" applyBorder="1"/>
    <xf numFmtId="2" fontId="3" fillId="0" borderId="10" xfId="0" applyNumberFormat="1" applyFont="1" applyBorder="1"/>
    <xf numFmtId="9" fontId="2" fillId="0" borderId="10" xfId="0" applyNumberFormat="1" applyFont="1" applyBorder="1"/>
    <xf numFmtId="0" fontId="2" fillId="0" borderId="10" xfId="0" applyFont="1" applyBorder="1"/>
    <xf numFmtId="2" fontId="3" fillId="0" borderId="4" xfId="0" applyNumberFormat="1" applyFont="1" applyBorder="1"/>
    <xf numFmtId="2" fontId="2" fillId="0" borderId="5" xfId="0" applyNumberFormat="1" applyFont="1" applyBorder="1"/>
    <xf numFmtId="0" fontId="2" fillId="0" borderId="5" xfId="0" applyFont="1" applyBorder="1"/>
    <xf numFmtId="0" fontId="3" fillId="0" borderId="11" xfId="0" applyFont="1" applyBorder="1"/>
    <xf numFmtId="0" fontId="2" fillId="0" borderId="6" xfId="0" applyFont="1" applyBorder="1"/>
    <xf numFmtId="0" fontId="2" fillId="0" borderId="7" xfId="0" applyFont="1" applyBorder="1"/>
    <xf numFmtId="2" fontId="2" fillId="0" borderId="11" xfId="0" applyNumberFormat="1" applyFont="1" applyBorder="1"/>
    <xf numFmtId="0" fontId="2" fillId="0" borderId="11" xfId="0" applyFont="1" applyBorder="1"/>
    <xf numFmtId="0" fontId="2" fillId="0" borderId="8" xfId="0" applyFont="1" applyBorder="1"/>
    <xf numFmtId="0" fontId="3" fillId="0" borderId="9" xfId="0" applyFont="1" applyBorder="1"/>
    <xf numFmtId="0" fontId="2" fillId="0" borderId="2" xfId="0" applyFont="1" applyBorder="1"/>
    <xf numFmtId="2" fontId="2" fillId="0" borderId="9" xfId="0" applyNumberFormat="1" applyFont="1" applyBorder="1"/>
    <xf numFmtId="0" fontId="3" fillId="0" borderId="10" xfId="0" applyNumberFormat="1" applyFont="1" applyBorder="1"/>
    <xf numFmtId="2" fontId="2" fillId="0" borderId="4" xfId="0" applyNumberFormat="1" applyFont="1" applyBorder="1"/>
    <xf numFmtId="2" fontId="2" fillId="0" borderId="0" xfId="0" applyNumberFormat="1" applyFont="1" applyBorder="1"/>
    <xf numFmtId="0" fontId="2" fillId="0" borderId="10" xfId="0" applyNumberFormat="1" applyFont="1" applyBorder="1"/>
    <xf numFmtId="164" fontId="2" fillId="0" borderId="0" xfId="0" applyNumberFormat="1" applyFont="1"/>
    <xf numFmtId="2" fontId="2" fillId="0" borderId="2" xfId="0" applyNumberFormat="1" applyFont="1" applyBorder="1"/>
    <xf numFmtId="2" fontId="5" fillId="0" borderId="1" xfId="0" applyNumberFormat="1" applyFont="1" applyBorder="1"/>
    <xf numFmtId="165" fontId="2" fillId="0" borderId="0" xfId="0" applyNumberFormat="1" applyFont="1"/>
    <xf numFmtId="2" fontId="2" fillId="0" borderId="0" xfId="0" applyNumberFormat="1" applyFont="1"/>
    <xf numFmtId="0" fontId="3" fillId="0" borderId="0" xfId="0" applyFont="1" applyBorder="1"/>
    <xf numFmtId="0" fontId="0" fillId="0" borderId="0" xfId="0" applyBorder="1"/>
    <xf numFmtId="2" fontId="3" fillId="0" borderId="2" xfId="0" applyNumberFormat="1" applyFont="1" applyBorder="1"/>
    <xf numFmtId="2" fontId="3" fillId="2" borderId="10" xfId="0" applyNumberFormat="1" applyFont="1" applyFill="1" applyBorder="1"/>
    <xf numFmtId="2" fontId="3" fillId="0" borderId="1" xfId="0" applyNumberFormat="1" applyFont="1" applyBorder="1"/>
    <xf numFmtId="0" fontId="2" fillId="0" borderId="3" xfId="0" applyNumberFormat="1" applyFont="1" applyBorder="1"/>
    <xf numFmtId="0" fontId="2" fillId="0" borderId="5" xfId="0" applyNumberFormat="1" applyFont="1" applyBorder="1"/>
    <xf numFmtId="0" fontId="2" fillId="0" borderId="1" xfId="0" applyNumberFormat="1" applyFont="1" applyBorder="1"/>
    <xf numFmtId="0" fontId="2" fillId="0" borderId="8" xfId="0" applyNumberFormat="1" applyFont="1" applyBorder="1"/>
    <xf numFmtId="2" fontId="3" fillId="0" borderId="6" xfId="0" applyNumberFormat="1" applyFont="1" applyBorder="1"/>
    <xf numFmtId="2" fontId="0" fillId="0" borderId="0" xfId="0" applyNumberFormat="1" applyBorder="1"/>
    <xf numFmtId="0" fontId="2" fillId="2" borderId="0" xfId="0" applyFont="1" applyFill="1" applyBorder="1"/>
    <xf numFmtId="2" fontId="2" fillId="2" borderId="10" xfId="0" applyNumberFormat="1" applyFont="1" applyFill="1" applyBorder="1"/>
    <xf numFmtId="2" fontId="2" fillId="2" borderId="0" xfId="0" applyNumberFormat="1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2" fontId="2" fillId="0" borderId="10" xfId="0" applyNumberFormat="1" applyFont="1" applyFill="1" applyBorder="1"/>
    <xf numFmtId="0" fontId="2" fillId="0" borderId="10" xfId="0" applyFont="1" applyFill="1" applyBorder="1"/>
    <xf numFmtId="2" fontId="3" fillId="0" borderId="10" xfId="0" applyNumberFormat="1" applyFont="1" applyFill="1" applyBorder="1"/>
    <xf numFmtId="2" fontId="3" fillId="0" borderId="4" xfId="0" applyNumberFormat="1" applyFont="1" applyFill="1" applyBorder="1"/>
    <xf numFmtId="0" fontId="2" fillId="2" borderId="4" xfId="0" applyFont="1" applyFill="1" applyBorder="1"/>
    <xf numFmtId="2" fontId="3" fillId="2" borderId="4" xfId="0" applyNumberFormat="1" applyFont="1" applyFill="1" applyBorder="1"/>
    <xf numFmtId="2" fontId="2" fillId="0" borderId="0" xfId="0" applyNumberFormat="1" applyFont="1" applyFill="1" applyBorder="1"/>
    <xf numFmtId="0" fontId="2" fillId="0" borderId="5" xfId="0" applyNumberFormat="1" applyFont="1" applyFill="1" applyBorder="1"/>
    <xf numFmtId="9" fontId="2" fillId="0" borderId="10" xfId="0" applyNumberFormat="1" applyFont="1" applyFill="1" applyBorder="1"/>
    <xf numFmtId="4" fontId="1" fillId="0" borderId="0" xfId="0" applyNumberFormat="1" applyFont="1"/>
    <xf numFmtId="2" fontId="2" fillId="2" borderId="11" xfId="0" applyNumberFormat="1" applyFont="1" applyFill="1" applyBorder="1"/>
    <xf numFmtId="166" fontId="3" fillId="0" borderId="0" xfId="0" applyNumberFormat="1" applyFont="1"/>
    <xf numFmtId="49" fontId="2" fillId="0" borderId="10" xfId="0" applyNumberFormat="1" applyFont="1" applyBorder="1" applyAlignment="1">
      <alignment horizontal="right"/>
    </xf>
    <xf numFmtId="2" fontId="2" fillId="0" borderId="9" xfId="0" applyNumberFormat="1" applyFont="1" applyFill="1" applyBorder="1"/>
    <xf numFmtId="49" fontId="8" fillId="0" borderId="10" xfId="0" applyNumberFormat="1" applyFont="1" applyBorder="1" applyAlignment="1">
      <alignment horizontal="right"/>
    </xf>
    <xf numFmtId="9" fontId="6" fillId="0" borderId="10" xfId="0" applyNumberFormat="1" applyFont="1" applyFill="1" applyBorder="1"/>
    <xf numFmtId="2" fontId="7" fillId="0" borderId="10" xfId="0" applyNumberFormat="1" applyFont="1" applyFill="1" applyBorder="1"/>
    <xf numFmtId="0" fontId="2" fillId="0" borderId="0" xfId="0" applyFont="1" applyFill="1"/>
    <xf numFmtId="9" fontId="2" fillId="0" borderId="10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2" fontId="2" fillId="2" borderId="9" xfId="0" applyNumberFormat="1" applyFont="1" applyFill="1" applyBorder="1"/>
    <xf numFmtId="2" fontId="3" fillId="2" borderId="9" xfId="0" applyNumberFormat="1" applyFont="1" applyFill="1" applyBorder="1"/>
    <xf numFmtId="9" fontId="2" fillId="2" borderId="9" xfId="0" applyNumberFormat="1" applyFont="1" applyFill="1" applyBorder="1"/>
    <xf numFmtId="2" fontId="3" fillId="2" borderId="1" xfId="0" applyNumberFormat="1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2" fontId="3" fillId="2" borderId="11" xfId="0" applyNumberFormat="1" applyFont="1" applyFill="1" applyBorder="1"/>
    <xf numFmtId="2" fontId="3" fillId="2" borderId="6" xfId="0" applyNumberFormat="1" applyFont="1" applyFill="1" applyBorder="1"/>
    <xf numFmtId="0" fontId="2" fillId="2" borderId="8" xfId="0" applyFont="1" applyFill="1" applyBorder="1"/>
    <xf numFmtId="2" fontId="2" fillId="2" borderId="2" xfId="0" applyNumberFormat="1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9" fontId="3" fillId="2" borderId="10" xfId="0" applyNumberFormat="1" applyFont="1" applyFill="1" applyBorder="1"/>
    <xf numFmtId="4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/>
    <xf numFmtId="2" fontId="2" fillId="2" borderId="4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shrinkToFit="1"/>
    </xf>
    <xf numFmtId="2" fontId="9" fillId="0" borderId="16" xfId="0" applyNumberFormat="1" applyFont="1" applyBorder="1" applyAlignment="1">
      <alignment horizontal="center" vertical="center" shrinkToFit="1"/>
    </xf>
    <xf numFmtId="4" fontId="9" fillId="0" borderId="16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0" xfId="0" applyFont="1" applyAlignment="1"/>
    <xf numFmtId="0" fontId="10" fillId="0" borderId="0" xfId="0" applyFont="1" applyAlignment="1">
      <alignment vertical="top" wrapText="1"/>
    </xf>
    <xf numFmtId="0" fontId="17" fillId="0" borderId="16" xfId="0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shrinkToFit="1"/>
    </xf>
    <xf numFmtId="2" fontId="10" fillId="0" borderId="1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2" borderId="6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2" borderId="14" xfId="0" applyFont="1" applyFill="1" applyBorder="1" applyAlignment="1"/>
    <xf numFmtId="0" fontId="0" fillId="0" borderId="15" xfId="0" applyBorder="1" applyAlignment="1"/>
    <xf numFmtId="0" fontId="0" fillId="0" borderId="13" xfId="0" applyBorder="1" applyAlignment="1"/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shrinkToFit="1"/>
    </xf>
    <xf numFmtId="4" fontId="11" fillId="0" borderId="16" xfId="0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shrinkToFit="1"/>
    </xf>
    <xf numFmtId="2" fontId="16" fillId="0" borderId="16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right" vertical="top" wrapText="1"/>
    </xf>
    <xf numFmtId="0" fontId="10" fillId="0" borderId="16" xfId="0" applyFont="1" applyBorder="1" applyAlignment="1">
      <alignment horizontal="center" vertical="center" shrinkToFi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Alignment="1"/>
    <xf numFmtId="0" fontId="14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2" fontId="15" fillId="2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tabSelected="1" workbookViewId="0">
      <selection activeCell="R17" sqref="R17"/>
    </sheetView>
  </sheetViews>
  <sheetFormatPr defaultRowHeight="15" x14ac:dyDescent="0.25"/>
  <cols>
    <col min="1" max="1" width="7" customWidth="1"/>
    <col min="4" max="4" width="12.5703125" customWidth="1"/>
    <col min="9" max="9" width="7.28515625" customWidth="1"/>
    <col min="10" max="10" width="6.85546875" customWidth="1"/>
    <col min="12" max="12" width="9.85546875" customWidth="1"/>
    <col min="13" max="13" width="8.28515625" customWidth="1"/>
    <col min="14" max="14" width="11.5703125" bestFit="1" customWidth="1"/>
  </cols>
  <sheetData>
    <row r="2" spans="1:14" ht="0.75" customHeight="1" thickBot="1" x14ac:dyDescent="0.3"/>
    <row r="3" spans="1:14" ht="15.75" hidden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5.75" hidden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5" customHeight="1" x14ac:dyDescent="0.25">
      <c r="A5" s="164" t="s">
        <v>42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4" ht="15.75" customHeight="1" x14ac:dyDescent="0.25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</row>
    <row r="7" spans="1:14" ht="3.75" customHeight="1" thickBot="1" x14ac:dyDescent="0.3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</row>
    <row r="8" spans="1:14" ht="15.75" thickBot="1" x14ac:dyDescent="0.3">
      <c r="A8" s="3"/>
      <c r="B8" s="4"/>
      <c r="C8" s="5" t="s">
        <v>31</v>
      </c>
      <c r="D8" s="38">
        <v>1921</v>
      </c>
      <c r="E8" s="3"/>
      <c r="F8" s="3"/>
      <c r="G8" s="3"/>
      <c r="H8" s="25"/>
      <c r="I8" s="6" t="s">
        <v>4</v>
      </c>
      <c r="J8" s="6" t="s">
        <v>4</v>
      </c>
      <c r="K8" s="32"/>
      <c r="L8" s="43"/>
      <c r="M8" s="41"/>
    </row>
    <row r="9" spans="1:14" x14ac:dyDescent="0.25">
      <c r="A9" s="8">
        <v>1</v>
      </c>
      <c r="B9" s="50" t="s">
        <v>0</v>
      </c>
      <c r="C9" s="51"/>
      <c r="D9" s="51"/>
      <c r="E9" s="52">
        <v>1.34</v>
      </c>
      <c r="F9" s="52">
        <v>1.6</v>
      </c>
      <c r="G9" s="52">
        <v>3.8</v>
      </c>
      <c r="H9" s="58">
        <f>D8*E9*F9*G9</f>
        <v>15650.771200000001</v>
      </c>
      <c r="I9" s="67"/>
      <c r="J9" s="68"/>
      <c r="K9" s="97">
        <v>1</v>
      </c>
      <c r="L9" s="55">
        <f>H9+J9</f>
        <v>15650.771200000001</v>
      </c>
      <c r="M9" s="59"/>
    </row>
    <row r="10" spans="1:14" x14ac:dyDescent="0.25">
      <c r="A10" s="8">
        <v>2</v>
      </c>
      <c r="B10" s="69" t="s">
        <v>7</v>
      </c>
      <c r="C10" s="69"/>
      <c r="D10" s="51"/>
      <c r="E10" s="70">
        <v>-0.1</v>
      </c>
      <c r="F10" s="52"/>
      <c r="G10" s="52"/>
      <c r="H10" s="58">
        <f>H9-H9*10%</f>
        <v>14085.694080000001</v>
      </c>
      <c r="I10" s="60"/>
      <c r="J10" s="54"/>
      <c r="K10" s="97">
        <v>1</v>
      </c>
      <c r="L10" s="55">
        <f>H9-H9*10%</f>
        <v>14085.694080000001</v>
      </c>
      <c r="M10" s="59"/>
      <c r="N10" s="1"/>
    </row>
    <row r="11" spans="1:14" x14ac:dyDescent="0.25">
      <c r="A11" s="8">
        <v>3</v>
      </c>
      <c r="B11" s="50" t="s">
        <v>1</v>
      </c>
      <c r="C11" s="51"/>
      <c r="D11" s="51"/>
      <c r="E11" s="52" t="s">
        <v>39</v>
      </c>
      <c r="F11" s="52"/>
      <c r="G11" s="52"/>
      <c r="H11" s="58">
        <f>H9-H9*12%</f>
        <v>13772.678656</v>
      </c>
      <c r="I11" s="60"/>
      <c r="J11" s="54"/>
      <c r="K11" s="97">
        <v>1</v>
      </c>
      <c r="L11" s="55">
        <f>H9-H9*12%</f>
        <v>13772.678656</v>
      </c>
      <c r="M11" s="59"/>
    </row>
    <row r="12" spans="1:14" x14ac:dyDescent="0.25">
      <c r="A12" s="8">
        <v>4</v>
      </c>
      <c r="B12" s="50" t="s">
        <v>3</v>
      </c>
      <c r="C12" s="51"/>
      <c r="D12" s="51"/>
      <c r="E12" s="52" t="s">
        <v>40</v>
      </c>
      <c r="F12" s="52"/>
      <c r="G12" s="52"/>
      <c r="H12" s="58">
        <f>H9-H9*15%</f>
        <v>13303.15552</v>
      </c>
      <c r="I12" s="60"/>
      <c r="J12" s="54"/>
      <c r="K12" s="97">
        <v>1</v>
      </c>
      <c r="L12" s="55">
        <f>H9-H9*15%</f>
        <v>13303.15552</v>
      </c>
      <c r="M12" s="59"/>
    </row>
    <row r="13" spans="1:14" x14ac:dyDescent="0.25">
      <c r="A13" s="8">
        <v>5</v>
      </c>
      <c r="B13" s="50" t="s">
        <v>8</v>
      </c>
      <c r="C13" s="51"/>
      <c r="D13" s="51"/>
      <c r="E13" s="52">
        <v>1.34</v>
      </c>
      <c r="F13" s="52">
        <v>1.6</v>
      </c>
      <c r="G13" s="52">
        <v>2</v>
      </c>
      <c r="H13" s="58">
        <f>D8*E13*F13*G13</f>
        <v>8237.2480000000014</v>
      </c>
      <c r="I13" s="60"/>
      <c r="J13" s="54"/>
      <c r="K13" s="97">
        <v>1</v>
      </c>
      <c r="L13" s="55">
        <f>H13</f>
        <v>8237.2480000000014</v>
      </c>
      <c r="M13" s="59"/>
    </row>
    <row r="14" spans="1:14" x14ac:dyDescent="0.25">
      <c r="A14" s="8">
        <v>6</v>
      </c>
      <c r="B14" s="50" t="s">
        <v>2</v>
      </c>
      <c r="C14" s="51"/>
      <c r="D14" s="51"/>
      <c r="E14" s="52" t="s">
        <v>39</v>
      </c>
      <c r="F14" s="52"/>
      <c r="G14" s="52"/>
      <c r="H14" s="58">
        <f>H9-H9*12%</f>
        <v>13772.678656</v>
      </c>
      <c r="I14" s="60">
        <v>0.1</v>
      </c>
      <c r="J14" s="52">
        <v>1377.27</v>
      </c>
      <c r="K14" s="97">
        <v>1</v>
      </c>
      <c r="L14" s="55">
        <f>H14+J14</f>
        <v>15149.948656</v>
      </c>
      <c r="M14" s="59"/>
    </row>
    <row r="15" spans="1:14" x14ac:dyDescent="0.25">
      <c r="A15" s="8">
        <v>7</v>
      </c>
      <c r="B15" s="9" t="s">
        <v>54</v>
      </c>
      <c r="C15" s="10"/>
      <c r="D15" s="10"/>
      <c r="E15" s="11">
        <v>1.34</v>
      </c>
      <c r="F15" s="11">
        <v>1.6</v>
      </c>
      <c r="G15" s="11">
        <v>2.2000000000000002</v>
      </c>
      <c r="H15" s="29">
        <f>D8*E15*F15*G15</f>
        <v>9060.9728000000032</v>
      </c>
      <c r="I15" s="64" t="s">
        <v>37</v>
      </c>
      <c r="J15" s="12"/>
      <c r="K15" s="98">
        <v>2</v>
      </c>
      <c r="L15" s="15">
        <f>H15+H15*120%</f>
        <v>19934.140160000006</v>
      </c>
      <c r="M15" s="42"/>
    </row>
    <row r="16" spans="1:14" x14ac:dyDescent="0.25">
      <c r="A16" s="8">
        <v>8</v>
      </c>
      <c r="B16" s="9" t="s">
        <v>9</v>
      </c>
      <c r="C16" s="10"/>
      <c r="D16" s="10"/>
      <c r="E16" s="11">
        <v>1.34</v>
      </c>
      <c r="F16" s="11">
        <v>1.6</v>
      </c>
      <c r="G16" s="11">
        <v>1.7</v>
      </c>
      <c r="H16" s="29">
        <f>D8*E16*F16*G16</f>
        <v>7001.6608000000006</v>
      </c>
      <c r="I16" s="66" t="s">
        <v>41</v>
      </c>
      <c r="J16" s="12"/>
      <c r="K16" s="98">
        <v>2</v>
      </c>
      <c r="L16" s="15">
        <f>H16+H16*125%</f>
        <v>15753.736800000002</v>
      </c>
      <c r="M16" s="42"/>
    </row>
    <row r="17" spans="1:14" s="37" customFormat="1" x14ac:dyDescent="0.25">
      <c r="A17" s="36">
        <v>9</v>
      </c>
      <c r="B17" s="10" t="s">
        <v>10</v>
      </c>
      <c r="C17" s="10"/>
      <c r="D17" s="10"/>
      <c r="E17" s="11">
        <v>1.34</v>
      </c>
      <c r="F17" s="11">
        <v>1.6</v>
      </c>
      <c r="G17" s="11">
        <v>1.8</v>
      </c>
      <c r="H17" s="29">
        <f>D8*E17*F17*G17</f>
        <v>7413.5232000000015</v>
      </c>
      <c r="I17" s="13"/>
      <c r="J17" s="11"/>
      <c r="K17" s="98">
        <v>1</v>
      </c>
      <c r="L17" s="15">
        <f t="shared" ref="L17:L22" si="0">H17*K17</f>
        <v>7413.5232000000015</v>
      </c>
      <c r="M17" s="42"/>
    </row>
    <row r="18" spans="1:14" ht="2.25" customHeight="1" x14ac:dyDescent="0.25">
      <c r="A18" s="8"/>
      <c r="B18" s="9"/>
      <c r="C18" s="10"/>
      <c r="D18" s="10"/>
      <c r="E18" s="11"/>
      <c r="F18" s="11"/>
      <c r="G18" s="11"/>
      <c r="H18" s="29">
        <f>D10*E18*F18*G18</f>
        <v>0</v>
      </c>
      <c r="I18" s="14"/>
      <c r="J18" s="11"/>
      <c r="K18" s="29"/>
      <c r="L18" s="15">
        <f t="shared" si="0"/>
        <v>0</v>
      </c>
      <c r="M18" s="42"/>
    </row>
    <row r="19" spans="1:14" hidden="1" x14ac:dyDescent="0.25">
      <c r="A19" s="8"/>
      <c r="B19" s="9"/>
      <c r="C19" s="10"/>
      <c r="D19" s="10"/>
      <c r="E19" s="11"/>
      <c r="F19" s="11"/>
      <c r="G19" s="11"/>
      <c r="H19" s="29">
        <f>D11*E19*F19*G19</f>
        <v>0</v>
      </c>
      <c r="I19" s="14"/>
      <c r="J19" s="11"/>
      <c r="K19" s="29"/>
      <c r="L19" s="15">
        <f t="shared" si="0"/>
        <v>0</v>
      </c>
      <c r="M19" s="42"/>
    </row>
    <row r="20" spans="1:14" x14ac:dyDescent="0.25">
      <c r="A20" s="8">
        <v>10</v>
      </c>
      <c r="B20" s="50" t="s">
        <v>30</v>
      </c>
      <c r="C20" s="51"/>
      <c r="D20" s="51"/>
      <c r="E20" s="52">
        <v>1.34</v>
      </c>
      <c r="F20" s="52">
        <v>1.6</v>
      </c>
      <c r="G20" s="52">
        <v>1.26</v>
      </c>
      <c r="H20" s="58">
        <f>D8*E20*F20*G20</f>
        <v>5189.4662400000007</v>
      </c>
      <c r="I20" s="53"/>
      <c r="J20" s="52"/>
      <c r="K20" s="58">
        <v>1</v>
      </c>
      <c r="L20" s="55">
        <f>H20</f>
        <v>5189.4662400000007</v>
      </c>
      <c r="M20" s="59"/>
    </row>
    <row r="21" spans="1:14" x14ac:dyDescent="0.25">
      <c r="A21" s="8">
        <v>11</v>
      </c>
      <c r="B21" s="9" t="s">
        <v>11</v>
      </c>
      <c r="C21" s="10"/>
      <c r="D21" s="10"/>
      <c r="E21" s="11">
        <v>1.34</v>
      </c>
      <c r="F21" s="11">
        <v>1.6</v>
      </c>
      <c r="G21" s="11">
        <v>1.8</v>
      </c>
      <c r="H21" s="29">
        <f>D8*E21*F21*G21</f>
        <v>7413.5232000000015</v>
      </c>
      <c r="I21" s="14"/>
      <c r="J21" s="11"/>
      <c r="K21" s="29">
        <v>1</v>
      </c>
      <c r="L21" s="15">
        <f t="shared" si="0"/>
        <v>7413.5232000000015</v>
      </c>
      <c r="M21" s="42"/>
    </row>
    <row r="22" spans="1:14" ht="15.75" thickBot="1" x14ac:dyDescent="0.3">
      <c r="A22" s="8">
        <v>12</v>
      </c>
      <c r="B22" s="9" t="s">
        <v>12</v>
      </c>
      <c r="C22" s="10"/>
      <c r="D22" s="10"/>
      <c r="E22" s="21">
        <v>1.34</v>
      </c>
      <c r="F22" s="21">
        <v>1.6</v>
      </c>
      <c r="G22" s="21">
        <v>1.5</v>
      </c>
      <c r="H22" s="29">
        <f>D8*E22*F22*G22</f>
        <v>6177.9360000000015</v>
      </c>
      <c r="I22" s="22"/>
      <c r="J22" s="21"/>
      <c r="K22" s="29">
        <v>1</v>
      </c>
      <c r="L22" s="15">
        <f t="shared" si="0"/>
        <v>6177.9360000000015</v>
      </c>
      <c r="M22" s="44"/>
      <c r="N22" s="1">
        <f>L9+L10+L11+L12+L13+L14+L15+L16+L17+L21+L22+L20</f>
        <v>142081.82171200003</v>
      </c>
    </row>
    <row r="23" spans="1:14" x14ac:dyDescent="0.25">
      <c r="A23" s="85">
        <v>13</v>
      </c>
      <c r="B23" s="71" t="s">
        <v>13</v>
      </c>
      <c r="C23" s="72"/>
      <c r="D23" s="72"/>
      <c r="E23" s="73">
        <v>1.46</v>
      </c>
      <c r="F23" s="73">
        <v>1.6</v>
      </c>
      <c r="G23" s="73">
        <v>2</v>
      </c>
      <c r="H23" s="74">
        <f>D8*E23*F23*G23</f>
        <v>8974.9120000000003</v>
      </c>
      <c r="I23" s="75"/>
      <c r="J23" s="74"/>
      <c r="K23" s="73">
        <v>1</v>
      </c>
      <c r="L23" s="76">
        <f>J23+H23</f>
        <v>8974.9120000000003</v>
      </c>
      <c r="M23" s="77"/>
    </row>
    <row r="24" spans="1:14" x14ac:dyDescent="0.25">
      <c r="A24" s="86"/>
      <c r="B24" s="56"/>
      <c r="C24" s="47"/>
      <c r="D24" s="47"/>
      <c r="E24" s="48"/>
      <c r="F24" s="48"/>
      <c r="G24" s="48"/>
      <c r="H24" s="39" t="s">
        <v>15</v>
      </c>
      <c r="I24" s="88" t="s">
        <v>16</v>
      </c>
      <c r="J24" s="39"/>
      <c r="K24" s="48"/>
      <c r="L24" s="57"/>
      <c r="M24" s="78"/>
    </row>
    <row r="25" spans="1:14" x14ac:dyDescent="0.25">
      <c r="A25" s="86">
        <v>14</v>
      </c>
      <c r="B25" s="56" t="s">
        <v>14</v>
      </c>
      <c r="C25" s="47"/>
      <c r="D25" s="47"/>
      <c r="E25" s="48">
        <v>1.46</v>
      </c>
      <c r="F25" s="48">
        <v>1.6</v>
      </c>
      <c r="G25" s="48">
        <v>1.54</v>
      </c>
      <c r="H25" s="48">
        <f>D8*E25*F25*G25/166.08</f>
        <v>41.610562620423892</v>
      </c>
      <c r="I25" s="48">
        <f>D8*E25*F25*G25</f>
        <v>6910.6822400000001</v>
      </c>
      <c r="J25" s="48"/>
      <c r="K25" s="48">
        <v>1</v>
      </c>
      <c r="L25" s="57">
        <f>I25*K25</f>
        <v>6910.6822400000001</v>
      </c>
      <c r="M25" s="78"/>
    </row>
    <row r="26" spans="1:14" x14ac:dyDescent="0.25">
      <c r="A26" s="86">
        <v>15</v>
      </c>
      <c r="B26" s="56" t="s">
        <v>108</v>
      </c>
      <c r="C26" s="47"/>
      <c r="D26" s="47"/>
      <c r="E26" s="48">
        <v>1.46</v>
      </c>
      <c r="F26" s="48">
        <v>1.6</v>
      </c>
      <c r="G26" s="48">
        <v>1.67</v>
      </c>
      <c r="H26" s="48">
        <f>D8*E26*F26*G26/166.08</f>
        <v>45.123142581888246</v>
      </c>
      <c r="I26" s="48">
        <f>D8*E26*F26*G26</f>
        <v>7494.05152</v>
      </c>
      <c r="J26" s="39"/>
      <c r="K26" s="48">
        <v>1</v>
      </c>
      <c r="L26" s="57">
        <f t="shared" ref="L26:L34" si="1">I26*K26</f>
        <v>7494.05152</v>
      </c>
      <c r="M26" s="78"/>
    </row>
    <row r="27" spans="1:14" x14ac:dyDescent="0.25">
      <c r="A27" s="86">
        <v>16</v>
      </c>
      <c r="B27" s="56" t="s">
        <v>17</v>
      </c>
      <c r="C27" s="47"/>
      <c r="D27" s="47"/>
      <c r="E27" s="48">
        <v>1.46</v>
      </c>
      <c r="F27" s="48">
        <v>1.6</v>
      </c>
      <c r="G27" s="48">
        <v>1.94</v>
      </c>
      <c r="H27" s="48">
        <f>I27/A56</f>
        <v>52.418500963391139</v>
      </c>
      <c r="I27" s="48">
        <f>D8*E27*F27*G27</f>
        <v>8705.6646400000009</v>
      </c>
      <c r="J27" s="39"/>
      <c r="K27" s="48">
        <v>1</v>
      </c>
      <c r="L27" s="57">
        <f t="shared" si="1"/>
        <v>8705.6646400000009</v>
      </c>
      <c r="M27" s="78"/>
    </row>
    <row r="28" spans="1:14" x14ac:dyDescent="0.25">
      <c r="A28" s="86"/>
      <c r="B28" s="56" t="s">
        <v>18</v>
      </c>
      <c r="C28" s="47"/>
      <c r="D28" s="47"/>
      <c r="E28" s="48">
        <v>1.46</v>
      </c>
      <c r="F28" s="48">
        <v>1.6</v>
      </c>
      <c r="G28" s="48">
        <v>2.14</v>
      </c>
      <c r="H28" s="48">
        <f>I28/A56</f>
        <v>57.822470134874763</v>
      </c>
      <c r="I28" s="48">
        <f>D8*E28*F28*G28</f>
        <v>9603.1558400000013</v>
      </c>
      <c r="J28" s="39"/>
      <c r="K28" s="48">
        <v>1</v>
      </c>
      <c r="L28" s="57">
        <f t="shared" si="1"/>
        <v>9603.1558400000013</v>
      </c>
      <c r="M28" s="78"/>
    </row>
    <row r="29" spans="1:14" x14ac:dyDescent="0.25">
      <c r="A29" s="86"/>
      <c r="B29" s="56" t="s">
        <v>19</v>
      </c>
      <c r="C29" s="47"/>
      <c r="D29" s="47"/>
      <c r="E29" s="48">
        <v>1.46</v>
      </c>
      <c r="F29" s="48">
        <v>1.6</v>
      </c>
      <c r="G29" s="48">
        <v>1.94</v>
      </c>
      <c r="H29" s="48">
        <f>I29/A56</f>
        <v>52.418500963391139</v>
      </c>
      <c r="I29" s="48">
        <f>D8*E29*F29*G29</f>
        <v>8705.6646400000009</v>
      </c>
      <c r="J29" s="39"/>
      <c r="K29" s="48">
        <v>1</v>
      </c>
      <c r="L29" s="57">
        <f t="shared" si="1"/>
        <v>8705.6646400000009</v>
      </c>
      <c r="M29" s="78"/>
    </row>
    <row r="30" spans="1:14" x14ac:dyDescent="0.25">
      <c r="A30" s="86"/>
      <c r="B30" s="56" t="s">
        <v>147</v>
      </c>
      <c r="C30" s="47"/>
      <c r="D30" s="47"/>
      <c r="E30" s="48">
        <v>1.46</v>
      </c>
      <c r="F30" s="48">
        <v>1.6</v>
      </c>
      <c r="G30" s="48">
        <v>1.98</v>
      </c>
      <c r="H30" s="48">
        <f>I30/A56</f>
        <v>53.49929479768786</v>
      </c>
      <c r="I30" s="48">
        <f>D8*E30*F30*G30</f>
        <v>8885.1628799999999</v>
      </c>
      <c r="J30" s="39">
        <f>I30*20%</f>
        <v>1777.0325760000001</v>
      </c>
      <c r="K30" s="48">
        <v>1</v>
      </c>
      <c r="L30" s="57">
        <f>I30+J30</f>
        <v>10662.195455999999</v>
      </c>
      <c r="M30" s="78"/>
    </row>
    <row r="31" spans="1:14" x14ac:dyDescent="0.25">
      <c r="A31" s="86">
        <v>17</v>
      </c>
      <c r="B31" s="56" t="s">
        <v>103</v>
      </c>
      <c r="C31" s="47"/>
      <c r="D31" s="47"/>
      <c r="E31" s="48">
        <v>1.46</v>
      </c>
      <c r="F31" s="48">
        <v>1.6</v>
      </c>
      <c r="G31" s="48">
        <v>1.54</v>
      </c>
      <c r="H31" s="48">
        <f>I31/A56</f>
        <v>41.610562620423892</v>
      </c>
      <c r="I31" s="48">
        <f>D8*E31*F31*G31</f>
        <v>6910.6822400000001</v>
      </c>
      <c r="J31" s="39"/>
      <c r="K31" s="48">
        <v>2</v>
      </c>
      <c r="L31" s="57">
        <f>I31*K31</f>
        <v>13821.36448</v>
      </c>
      <c r="M31" s="78"/>
    </row>
    <row r="32" spans="1:14" x14ac:dyDescent="0.25">
      <c r="A32" s="86">
        <v>18</v>
      </c>
      <c r="B32" s="56" t="s">
        <v>104</v>
      </c>
      <c r="C32" s="47"/>
      <c r="D32" s="47"/>
      <c r="E32" s="48">
        <v>1.46</v>
      </c>
      <c r="F32" s="48">
        <v>1.6</v>
      </c>
      <c r="G32" s="48">
        <v>1.2</v>
      </c>
      <c r="H32" s="48">
        <f>I32/A56</f>
        <v>32.423815028901728</v>
      </c>
      <c r="I32" s="48">
        <f>D8*E32*F32*1.2</f>
        <v>5384.9471999999996</v>
      </c>
      <c r="J32" s="39"/>
      <c r="K32" s="48">
        <v>1</v>
      </c>
      <c r="L32" s="57">
        <f>I32*K32</f>
        <v>5384.9471999999996</v>
      </c>
      <c r="M32" s="78"/>
    </row>
    <row r="33" spans="1:14" x14ac:dyDescent="0.25">
      <c r="A33" s="86">
        <v>19</v>
      </c>
      <c r="B33" s="56" t="s">
        <v>123</v>
      </c>
      <c r="C33" s="47"/>
      <c r="D33" s="47"/>
      <c r="E33" s="48">
        <v>1.46</v>
      </c>
      <c r="F33" s="48">
        <v>1.6</v>
      </c>
      <c r="G33" s="48">
        <v>1.54</v>
      </c>
      <c r="H33" s="48">
        <f>I33/A56</f>
        <v>41.610562620423892</v>
      </c>
      <c r="I33" s="48">
        <f>D8*E33*F33*G33</f>
        <v>6910.6822400000001</v>
      </c>
      <c r="J33" s="39"/>
      <c r="K33" s="48">
        <v>1</v>
      </c>
      <c r="L33" s="57">
        <f t="shared" si="1"/>
        <v>6910.6822400000001</v>
      </c>
      <c r="M33" s="78"/>
    </row>
    <row r="34" spans="1:14" x14ac:dyDescent="0.25">
      <c r="A34" s="86">
        <v>20</v>
      </c>
      <c r="B34" s="56" t="s">
        <v>38</v>
      </c>
      <c r="C34" s="47"/>
      <c r="D34" s="47"/>
      <c r="E34" s="48">
        <v>1.34</v>
      </c>
      <c r="F34" s="48">
        <v>1.6</v>
      </c>
      <c r="G34" s="48">
        <v>1.59</v>
      </c>
      <c r="H34" s="48">
        <f>I34/A56</f>
        <v>39.430468208092485</v>
      </c>
      <c r="I34" s="48">
        <f>E34*F34*G34*D8</f>
        <v>6548.6121600000006</v>
      </c>
      <c r="J34" s="39"/>
      <c r="K34" s="48">
        <v>1</v>
      </c>
      <c r="L34" s="57">
        <f t="shared" si="1"/>
        <v>6548.6121600000006</v>
      </c>
      <c r="M34" s="78"/>
    </row>
    <row r="35" spans="1:14" ht="15.75" thickBot="1" x14ac:dyDescent="0.3">
      <c r="A35" s="87">
        <v>21</v>
      </c>
      <c r="B35" s="79" t="s">
        <v>91</v>
      </c>
      <c r="C35" s="80"/>
      <c r="D35" s="80"/>
      <c r="E35" s="62">
        <v>1.34</v>
      </c>
      <c r="F35" s="62">
        <v>1.6</v>
      </c>
      <c r="G35" s="62">
        <v>1.26</v>
      </c>
      <c r="H35" s="62">
        <f>I35/A56</f>
        <v>31.246786127167631</v>
      </c>
      <c r="I35" s="48">
        <f>D8*E35*F35*G35</f>
        <v>5189.4662400000007</v>
      </c>
      <c r="J35" s="81"/>
      <c r="K35" s="62">
        <v>1</v>
      </c>
      <c r="L35" s="82">
        <f>I35*K35</f>
        <v>5189.4662400000007</v>
      </c>
      <c r="M35" s="83"/>
      <c r="N35" s="1">
        <f>L23+L25+L26+L27+L28+L29+L30+L31+L32+L33+L35+L34</f>
        <v>98911.39865599999</v>
      </c>
    </row>
    <row r="36" spans="1:14" x14ac:dyDescent="0.25">
      <c r="A36" s="86">
        <v>22</v>
      </c>
      <c r="B36" s="56" t="s">
        <v>107</v>
      </c>
      <c r="C36" s="47"/>
      <c r="D36" s="47"/>
      <c r="E36" s="48">
        <v>1.46</v>
      </c>
      <c r="F36" s="48">
        <v>1.6</v>
      </c>
      <c r="G36" s="48">
        <v>1.43</v>
      </c>
      <c r="H36" s="48">
        <f>I36/A56</f>
        <v>38.638379576107894</v>
      </c>
      <c r="I36" s="48">
        <f>D8*E36*F36*G36</f>
        <v>6417.0620799999997</v>
      </c>
      <c r="J36" s="39"/>
      <c r="K36" s="48">
        <v>10</v>
      </c>
      <c r="L36" s="57">
        <f>I36*K36</f>
        <v>64170.620799999997</v>
      </c>
      <c r="M36" s="78"/>
    </row>
    <row r="37" spans="1:14" ht="15.75" thickBot="1" x14ac:dyDescent="0.3">
      <c r="A37" s="86">
        <v>23</v>
      </c>
      <c r="B37" s="56" t="s">
        <v>20</v>
      </c>
      <c r="C37" s="47"/>
      <c r="D37" s="47"/>
      <c r="E37" s="48">
        <v>1.46</v>
      </c>
      <c r="F37" s="48">
        <v>1.6</v>
      </c>
      <c r="G37" s="48">
        <v>1.43</v>
      </c>
      <c r="H37" s="48">
        <f>I37/A56</f>
        <v>38.638379576107894</v>
      </c>
      <c r="I37" s="48">
        <f>D8*E37*F37*G37</f>
        <v>6417.0620799999997</v>
      </c>
      <c r="J37" s="39"/>
      <c r="K37" s="48">
        <v>4</v>
      </c>
      <c r="L37" s="57">
        <f t="shared" ref="L37:L47" si="2">I37*K37</f>
        <v>25668.248319999999</v>
      </c>
      <c r="M37" s="78"/>
      <c r="N37" s="1">
        <f>L36+L37</f>
        <v>89838.869119999988</v>
      </c>
    </row>
    <row r="38" spans="1:14" ht="15.75" thickBot="1" x14ac:dyDescent="0.3">
      <c r="A38" s="85">
        <v>24</v>
      </c>
      <c r="B38" s="72" t="s">
        <v>21</v>
      </c>
      <c r="C38" s="72"/>
      <c r="D38" s="72"/>
      <c r="E38" s="73">
        <v>1.34</v>
      </c>
      <c r="F38" s="73">
        <v>1.6</v>
      </c>
      <c r="G38" s="84">
        <v>2.1</v>
      </c>
      <c r="H38" s="73"/>
      <c r="I38" s="84">
        <f>D8*E38*F38*G38</f>
        <v>8649.1104000000014</v>
      </c>
      <c r="J38" s="73"/>
      <c r="K38" s="84">
        <v>1</v>
      </c>
      <c r="L38" s="76">
        <f>I38*K38</f>
        <v>8649.1104000000014</v>
      </c>
      <c r="M38" s="77"/>
    </row>
    <row r="39" spans="1:14" x14ac:dyDescent="0.25">
      <c r="A39" s="86">
        <v>25</v>
      </c>
      <c r="B39" s="47" t="s">
        <v>121</v>
      </c>
      <c r="C39" s="47"/>
      <c r="D39" s="47"/>
      <c r="E39" s="48">
        <v>1.34</v>
      </c>
      <c r="F39" s="48">
        <v>1.6</v>
      </c>
      <c r="G39" s="49">
        <v>1.26</v>
      </c>
      <c r="H39" s="48">
        <f>I39/A56</f>
        <v>31.246786127167631</v>
      </c>
      <c r="I39" s="84">
        <f>D8*E39*F39*G39</f>
        <v>5189.4662400000007</v>
      </c>
      <c r="J39" s="39"/>
      <c r="K39" s="49">
        <v>10</v>
      </c>
      <c r="L39" s="57">
        <f t="shared" si="2"/>
        <v>51894.662400000008</v>
      </c>
      <c r="M39" s="78"/>
    </row>
    <row r="40" spans="1:14" x14ac:dyDescent="0.25">
      <c r="A40" s="86">
        <v>26</v>
      </c>
      <c r="B40" s="47" t="s">
        <v>35</v>
      </c>
      <c r="C40" s="47"/>
      <c r="D40" s="47"/>
      <c r="E40" s="48">
        <v>1.34</v>
      </c>
      <c r="F40" s="48">
        <v>1.6</v>
      </c>
      <c r="G40" s="49">
        <v>1.26</v>
      </c>
      <c r="H40" s="48">
        <f>I40/A56</f>
        <v>31.246786127167631</v>
      </c>
      <c r="I40" s="49">
        <f>D8*E40*F40*G40</f>
        <v>5189.4662400000007</v>
      </c>
      <c r="J40" s="48">
        <v>518.95000000000005</v>
      </c>
      <c r="K40" s="49">
        <v>4</v>
      </c>
      <c r="L40" s="57">
        <f>I40*110%*K40</f>
        <v>22833.651456000003</v>
      </c>
      <c r="M40" s="78"/>
    </row>
    <row r="41" spans="1:14" s="37" customFormat="1" x14ac:dyDescent="0.25">
      <c r="A41" s="86">
        <v>27</v>
      </c>
      <c r="B41" s="47" t="s">
        <v>22</v>
      </c>
      <c r="C41" s="47"/>
      <c r="D41" s="47"/>
      <c r="E41" s="48">
        <v>1.46</v>
      </c>
      <c r="F41" s="48">
        <v>1.6</v>
      </c>
      <c r="G41" s="49">
        <v>1.5</v>
      </c>
      <c r="H41" s="48">
        <f>I41/A56</f>
        <v>40.529768786127164</v>
      </c>
      <c r="I41" s="49">
        <f>D8*E41*F41*G41</f>
        <v>6731.1840000000002</v>
      </c>
      <c r="J41" s="48"/>
      <c r="K41" s="49">
        <v>6</v>
      </c>
      <c r="L41" s="57">
        <f t="shared" si="2"/>
        <v>40387.103999999999</v>
      </c>
      <c r="M41" s="78"/>
    </row>
    <row r="42" spans="1:14" s="37" customFormat="1" x14ac:dyDescent="0.25">
      <c r="A42" s="86">
        <v>28</v>
      </c>
      <c r="B42" s="47" t="s">
        <v>23</v>
      </c>
      <c r="C42" s="47"/>
      <c r="D42" s="47"/>
      <c r="E42" s="48">
        <v>1.34</v>
      </c>
      <c r="F42" s="48">
        <v>1.6</v>
      </c>
      <c r="G42" s="49">
        <v>1.26</v>
      </c>
      <c r="H42" s="48">
        <f>I42/A56</f>
        <v>31.246786127167631</v>
      </c>
      <c r="I42" s="49">
        <f>D8*E42*F42*G42</f>
        <v>5189.4662400000007</v>
      </c>
      <c r="J42" s="48"/>
      <c r="K42" s="49">
        <v>2</v>
      </c>
      <c r="L42" s="57">
        <f t="shared" si="2"/>
        <v>10378.932480000001</v>
      </c>
      <c r="M42" s="78"/>
    </row>
    <row r="43" spans="1:14" s="37" customFormat="1" x14ac:dyDescent="0.25">
      <c r="A43" s="86">
        <v>29</v>
      </c>
      <c r="B43" s="47" t="s">
        <v>24</v>
      </c>
      <c r="C43" s="47"/>
      <c r="D43" s="47"/>
      <c r="E43" s="48">
        <v>1.4</v>
      </c>
      <c r="F43" s="48">
        <v>1.6</v>
      </c>
      <c r="G43" s="49">
        <v>2.1</v>
      </c>
      <c r="H43" s="48">
        <f>I43/A56</f>
        <v>54.409826589595369</v>
      </c>
      <c r="I43" s="49">
        <f>D8*E43*F43*G43</f>
        <v>9036.384</v>
      </c>
      <c r="J43" s="48"/>
      <c r="K43" s="49">
        <v>1</v>
      </c>
      <c r="L43" s="57">
        <f t="shared" si="2"/>
        <v>9036.384</v>
      </c>
      <c r="M43" s="78"/>
    </row>
    <row r="44" spans="1:14" s="37" customFormat="1" ht="15.75" thickBot="1" x14ac:dyDescent="0.3">
      <c r="A44" s="87">
        <v>30</v>
      </c>
      <c r="B44" s="47" t="s">
        <v>102</v>
      </c>
      <c r="C44" s="47"/>
      <c r="D44" s="47"/>
      <c r="E44" s="62">
        <v>1.4</v>
      </c>
      <c r="F44" s="62">
        <v>1.6</v>
      </c>
      <c r="G44" s="49">
        <v>1.26</v>
      </c>
      <c r="H44" s="62">
        <f>I44/A56</f>
        <v>32.645895953757218</v>
      </c>
      <c r="I44" s="49">
        <f>D8*E44*F44*G44</f>
        <v>5421.8303999999998</v>
      </c>
      <c r="J44" s="62"/>
      <c r="K44" s="49">
        <v>3</v>
      </c>
      <c r="L44" s="82">
        <f t="shared" si="2"/>
        <v>16265.4912</v>
      </c>
      <c r="M44" s="83"/>
      <c r="N44" s="46"/>
    </row>
    <row r="45" spans="1:14" s="37" customFormat="1" ht="15.75" thickBot="1" x14ac:dyDescent="0.3">
      <c r="A45" s="86">
        <v>31</v>
      </c>
      <c r="B45" s="173" t="s">
        <v>56</v>
      </c>
      <c r="C45" s="174"/>
      <c r="D45" s="175"/>
      <c r="E45" s="48">
        <v>1.46</v>
      </c>
      <c r="F45" s="48">
        <v>1.6</v>
      </c>
      <c r="G45" s="49">
        <v>1.47</v>
      </c>
      <c r="H45" s="48">
        <f>I45/A56</f>
        <v>39.719173410404622</v>
      </c>
      <c r="I45" s="49">
        <f>D8*E45*F45*G45</f>
        <v>6596.5603200000005</v>
      </c>
      <c r="J45" s="96"/>
      <c r="K45" s="49">
        <v>1</v>
      </c>
      <c r="L45" s="57">
        <f>I45*K45</f>
        <v>6596.5603200000005</v>
      </c>
      <c r="M45" s="78"/>
      <c r="N45" s="46"/>
    </row>
    <row r="46" spans="1:14" s="37" customFormat="1" ht="15.75" thickBot="1" x14ac:dyDescent="0.3">
      <c r="A46" s="86">
        <v>32</v>
      </c>
      <c r="B46" s="176" t="s">
        <v>95</v>
      </c>
      <c r="C46" s="177"/>
      <c r="D46" s="178"/>
      <c r="E46" s="48">
        <v>1.34</v>
      </c>
      <c r="F46" s="48">
        <v>1.6</v>
      </c>
      <c r="G46" s="49">
        <v>1.26</v>
      </c>
      <c r="H46" s="48">
        <f>I46/A56</f>
        <v>31.246786127167631</v>
      </c>
      <c r="I46" s="49">
        <f>D8*E46*F46*G46</f>
        <v>5189.4662400000007</v>
      </c>
      <c r="J46" s="96"/>
      <c r="K46" s="49">
        <v>2</v>
      </c>
      <c r="L46" s="57">
        <f>I46*K46</f>
        <v>10378.932480000001</v>
      </c>
      <c r="M46" s="78"/>
      <c r="N46" s="46">
        <f>L38+L39+L40+L41+L42+L43+L44+L45+L46</f>
        <v>176420.82873599997</v>
      </c>
    </row>
    <row r="47" spans="1:14" ht="15.75" thickBot="1" x14ac:dyDescent="0.3">
      <c r="A47" s="24">
        <v>33</v>
      </c>
      <c r="B47" s="25" t="s">
        <v>106</v>
      </c>
      <c r="C47" s="25"/>
      <c r="D47" s="25"/>
      <c r="E47" s="26">
        <v>1.34</v>
      </c>
      <c r="F47" s="26">
        <v>1.6</v>
      </c>
      <c r="G47" s="65">
        <v>1.36</v>
      </c>
      <c r="H47" s="26">
        <f>I47/A56</f>
        <v>33.726689788053953</v>
      </c>
      <c r="I47" s="26">
        <f>D8*E47*F47*G47</f>
        <v>5601.3286400000015</v>
      </c>
      <c r="J47" s="33"/>
      <c r="K47" s="26">
        <v>1</v>
      </c>
      <c r="L47" s="40">
        <f t="shared" si="2"/>
        <v>5601.3286400000015</v>
      </c>
      <c r="M47" s="7"/>
      <c r="N47" s="1">
        <f>L47</f>
        <v>5601.3286400000015</v>
      </c>
    </row>
    <row r="48" spans="1:14" x14ac:dyDescent="0.25">
      <c r="A48" s="24">
        <v>34</v>
      </c>
      <c r="B48" s="4" t="s">
        <v>6</v>
      </c>
      <c r="C48" s="25"/>
      <c r="D48" s="25"/>
      <c r="E48" s="26">
        <v>1.34</v>
      </c>
      <c r="F48" s="26">
        <v>1.6</v>
      </c>
      <c r="G48" s="65">
        <v>1.26</v>
      </c>
      <c r="H48" s="26">
        <f>I48/A56</f>
        <v>31.246786127167631</v>
      </c>
      <c r="I48" s="26">
        <f>D8*E48*F48*G48</f>
        <v>5189.4662400000007</v>
      </c>
      <c r="J48" s="26"/>
      <c r="K48" s="26">
        <v>30</v>
      </c>
      <c r="L48" s="40">
        <f>I48*K48</f>
        <v>155683.98720000003</v>
      </c>
      <c r="M48" s="7"/>
    </row>
    <row r="49" spans="1:14" s="1" customFormat="1" ht="15.75" thickBot="1" x14ac:dyDescent="0.3">
      <c r="A49" s="27">
        <v>35</v>
      </c>
      <c r="B49" s="28" t="s">
        <v>74</v>
      </c>
      <c r="C49" s="29"/>
      <c r="D49" s="29"/>
      <c r="E49" s="52">
        <v>1.46</v>
      </c>
      <c r="F49" s="11">
        <v>1.6</v>
      </c>
      <c r="G49" s="52">
        <v>1.5</v>
      </c>
      <c r="H49" s="11">
        <f>I49/A56</f>
        <v>40.529768786127164</v>
      </c>
      <c r="I49" s="11">
        <f>D8*E49*F49*G49</f>
        <v>6731.1840000000002</v>
      </c>
      <c r="J49" s="11"/>
      <c r="K49" s="30">
        <v>2</v>
      </c>
      <c r="L49" s="15">
        <f>I49*K49</f>
        <v>13462.368</v>
      </c>
      <c r="M49" s="16"/>
      <c r="N49" s="1">
        <f>L48+L49</f>
        <v>169146.35520000002</v>
      </c>
    </row>
    <row r="50" spans="1:14" x14ac:dyDescent="0.25">
      <c r="A50" s="24">
        <v>36</v>
      </c>
      <c r="B50" s="4" t="s">
        <v>32</v>
      </c>
      <c r="C50" s="25"/>
      <c r="D50" s="25"/>
      <c r="E50" s="26">
        <v>1.34</v>
      </c>
      <c r="F50" s="26">
        <v>1.6</v>
      </c>
      <c r="G50" s="26">
        <v>2.1</v>
      </c>
      <c r="H50" s="26"/>
      <c r="I50" s="26">
        <f>D8*E50*F50*G50</f>
        <v>8649.1104000000014</v>
      </c>
      <c r="J50" s="26">
        <v>864.9</v>
      </c>
      <c r="K50" s="26">
        <v>4</v>
      </c>
      <c r="L50" s="40">
        <f>I50*110%*4</f>
        <v>38056.085760000009</v>
      </c>
      <c r="M50" s="7"/>
    </row>
    <row r="51" spans="1:14" x14ac:dyDescent="0.25">
      <c r="A51" s="8">
        <v>37</v>
      </c>
      <c r="B51" s="9" t="s">
        <v>33</v>
      </c>
      <c r="C51" s="10"/>
      <c r="D51" s="10"/>
      <c r="E51" s="11">
        <v>1.34</v>
      </c>
      <c r="F51" s="11">
        <v>1.6</v>
      </c>
      <c r="G51" s="11">
        <v>2.1</v>
      </c>
      <c r="H51" s="11"/>
      <c r="I51" s="11">
        <f>D8*E51*F51*G51</f>
        <v>8649.1104000000014</v>
      </c>
      <c r="J51" s="11">
        <v>864.9</v>
      </c>
      <c r="K51" s="11">
        <v>1</v>
      </c>
      <c r="L51" s="15">
        <f>I51*110%*1</f>
        <v>9514.0214400000023</v>
      </c>
      <c r="M51" s="17"/>
    </row>
    <row r="52" spans="1:14" ht="15.75" thickBot="1" x14ac:dyDescent="0.3">
      <c r="A52" s="18"/>
      <c r="B52" s="19"/>
      <c r="C52" s="20"/>
      <c r="D52" s="20"/>
      <c r="E52" s="21"/>
      <c r="F52" s="21"/>
      <c r="G52" s="21"/>
      <c r="H52" s="21"/>
      <c r="I52" s="21"/>
      <c r="J52" s="21"/>
      <c r="K52" s="21"/>
      <c r="L52" s="45"/>
      <c r="M52" s="23"/>
      <c r="N52" s="1">
        <f>L50+L51</f>
        <v>47570.107200000013</v>
      </c>
    </row>
    <row r="53" spans="1:14" x14ac:dyDescent="0.25">
      <c r="A53" s="8">
        <v>38</v>
      </c>
      <c r="B53" s="9" t="s">
        <v>25</v>
      </c>
      <c r="C53" s="10"/>
      <c r="D53" s="10"/>
      <c r="E53" s="11">
        <v>1.34</v>
      </c>
      <c r="F53" s="11">
        <v>1.6</v>
      </c>
      <c r="G53" s="52">
        <v>1.05</v>
      </c>
      <c r="H53" s="11">
        <f>I53/A56</f>
        <v>26.038988439306362</v>
      </c>
      <c r="I53" s="11">
        <f>D8*E53*F53*G53</f>
        <v>4324.5552000000007</v>
      </c>
      <c r="J53" s="11"/>
      <c r="K53" s="11">
        <v>4</v>
      </c>
      <c r="L53" s="15">
        <f>I53*K53</f>
        <v>17298.220800000003</v>
      </c>
      <c r="M53" s="17"/>
    </row>
    <row r="54" spans="1:14" x14ac:dyDescent="0.25">
      <c r="A54" s="8">
        <v>39</v>
      </c>
      <c r="B54" s="9" t="s">
        <v>34</v>
      </c>
      <c r="C54" s="10"/>
      <c r="D54" s="10"/>
      <c r="E54" s="11">
        <v>1.34</v>
      </c>
      <c r="F54" s="11">
        <v>1.6</v>
      </c>
      <c r="G54" s="11">
        <v>1.26</v>
      </c>
      <c r="H54" s="11">
        <f>I54/A56</f>
        <v>31.246786127167631</v>
      </c>
      <c r="I54" s="11">
        <f>D8*E54*F54*G54</f>
        <v>5189.4662400000007</v>
      </c>
      <c r="J54" s="11">
        <v>518.95000000000005</v>
      </c>
      <c r="K54" s="11">
        <v>0.3</v>
      </c>
      <c r="L54" s="15">
        <f>I54*110%*K54</f>
        <v>1712.5238592000003</v>
      </c>
      <c r="M54" s="17"/>
    </row>
    <row r="55" spans="1:14" ht="15.75" thickBot="1" x14ac:dyDescent="0.3">
      <c r="A55" s="18">
        <v>40</v>
      </c>
      <c r="B55" s="19" t="s">
        <v>26</v>
      </c>
      <c r="C55" s="20"/>
      <c r="D55" s="20"/>
      <c r="E55" s="21">
        <v>1.34</v>
      </c>
      <c r="F55" s="21">
        <v>1.6</v>
      </c>
      <c r="G55" s="21">
        <v>1.05</v>
      </c>
      <c r="H55" s="21">
        <f>I55/A56</f>
        <v>26.038988439306362</v>
      </c>
      <c r="I55" s="21">
        <f>D8*E55*F55*G55</f>
        <v>4324.5552000000007</v>
      </c>
      <c r="J55" s="21"/>
      <c r="K55" s="21">
        <v>0.5</v>
      </c>
      <c r="L55" s="45">
        <f>I55*K55</f>
        <v>2162.2776000000003</v>
      </c>
      <c r="M55" s="23"/>
      <c r="N55" s="1">
        <f>L53+L54+L55</f>
        <v>21173.022259200003</v>
      </c>
    </row>
    <row r="56" spans="1:14" x14ac:dyDescent="0.25">
      <c r="A56" s="31">
        <v>166.08</v>
      </c>
      <c r="B56" s="2" t="s">
        <v>5</v>
      </c>
      <c r="C56" s="2"/>
      <c r="D56" s="2" t="s">
        <v>27</v>
      </c>
      <c r="E56" s="2"/>
      <c r="F56" s="2"/>
      <c r="G56" s="2"/>
      <c r="H56" s="2"/>
      <c r="I56" s="2"/>
      <c r="J56" s="2"/>
      <c r="K56" s="63">
        <f>SUM(K9:K55)</f>
        <v>113.8</v>
      </c>
      <c r="L56" s="34"/>
      <c r="M56" s="2"/>
      <c r="N56" s="61">
        <f>N55+N52+N49+N47+N46+N37+N35+N22</f>
        <v>750743.73152320005</v>
      </c>
    </row>
    <row r="57" spans="1:14" x14ac:dyDescent="0.25">
      <c r="A57" s="2" t="s">
        <v>28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35"/>
      <c r="M57" s="2"/>
    </row>
    <row r="58" spans="1:14" x14ac:dyDescent="0.25">
      <c r="A58" s="2" t="s">
        <v>105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4" x14ac:dyDescent="0.25">
      <c r="A59" s="2" t="s">
        <v>29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4" x14ac:dyDescent="0.25">
      <c r="A60" s="2"/>
      <c r="B60" s="2" t="s">
        <v>36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3">
    <mergeCell ref="A5:M7"/>
    <mergeCell ref="B45:D45"/>
    <mergeCell ref="B46:D46"/>
  </mergeCells>
  <pageMargins left="0.19685039370078741" right="0.70866141732283472" top="0.2" bottom="0.2" header="0.2" footer="0.2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19" zoomScaleNormal="100" workbookViewId="0">
      <selection activeCell="M7" sqref="M7"/>
    </sheetView>
  </sheetViews>
  <sheetFormatPr defaultRowHeight="15" x14ac:dyDescent="0.25"/>
  <cols>
    <col min="1" max="1" width="7.140625" customWidth="1"/>
    <col min="2" max="2" width="28.7109375" customWidth="1"/>
    <col min="3" max="3" width="24.7109375" customWidth="1"/>
    <col min="4" max="4" width="9.42578125" customWidth="1"/>
    <col min="6" max="6" width="12.7109375" customWidth="1"/>
    <col min="7" max="7" width="16.28515625" customWidth="1"/>
    <col min="8" max="8" width="12.140625" customWidth="1"/>
    <col min="9" max="9" width="11" customWidth="1"/>
  </cols>
  <sheetData>
    <row r="1" spans="1:10" ht="15.75" x14ac:dyDescent="0.25">
      <c r="B1" s="163" t="s">
        <v>155</v>
      </c>
      <c r="C1" s="92"/>
      <c r="D1" s="92"/>
      <c r="E1" s="92"/>
      <c r="F1" s="182"/>
      <c r="G1" s="182"/>
      <c r="H1" s="182"/>
      <c r="I1" s="182"/>
      <c r="J1" s="182"/>
    </row>
    <row r="2" spans="1:10" ht="63" customHeight="1" x14ac:dyDescent="0.25">
      <c r="A2" s="196" t="s">
        <v>98</v>
      </c>
      <c r="B2" s="196"/>
      <c r="C2" s="92"/>
      <c r="D2" s="92"/>
      <c r="E2" s="92"/>
      <c r="F2" s="180" t="s">
        <v>142</v>
      </c>
      <c r="G2" s="180"/>
      <c r="H2" s="180"/>
      <c r="I2" s="180"/>
      <c r="J2" s="180"/>
    </row>
    <row r="3" spans="1:10" ht="15.75" x14ac:dyDescent="0.25">
      <c r="B3" s="94" t="s">
        <v>99</v>
      </c>
      <c r="C3" s="94"/>
      <c r="D3" s="94"/>
      <c r="E3" s="92"/>
      <c r="F3" s="181" t="s">
        <v>100</v>
      </c>
      <c r="G3" s="181"/>
      <c r="H3" s="181"/>
      <c r="I3" s="181"/>
      <c r="J3" s="181"/>
    </row>
    <row r="4" spans="1:10" ht="15.75" x14ac:dyDescent="0.25">
      <c r="B4" s="94" t="s">
        <v>101</v>
      </c>
      <c r="C4" s="94"/>
      <c r="D4" s="94"/>
      <c r="E4" s="92"/>
      <c r="F4" s="183" t="s">
        <v>101</v>
      </c>
      <c r="G4" s="183"/>
      <c r="H4" s="183"/>
      <c r="I4" s="183"/>
      <c r="J4" s="183"/>
    </row>
    <row r="5" spans="1:10" ht="16.5" customHeight="1" x14ac:dyDescent="0.3">
      <c r="A5" s="195" t="s">
        <v>83</v>
      </c>
      <c r="B5" s="195"/>
      <c r="C5" s="195"/>
      <c r="D5" s="195"/>
      <c r="E5" s="195"/>
      <c r="F5" s="195"/>
      <c r="G5" s="195"/>
      <c r="H5" s="195"/>
    </row>
    <row r="6" spans="1:10" ht="15.75" customHeight="1" x14ac:dyDescent="0.3">
      <c r="A6" s="195" t="s">
        <v>84</v>
      </c>
      <c r="B6" s="195"/>
      <c r="C6" s="195"/>
      <c r="D6" s="195"/>
      <c r="E6" s="195"/>
      <c r="F6" s="195"/>
      <c r="G6" s="195"/>
      <c r="H6" s="195"/>
    </row>
    <row r="7" spans="1:10" ht="14.25" customHeight="1" x14ac:dyDescent="0.3">
      <c r="A7" s="195" t="s">
        <v>109</v>
      </c>
      <c r="B7" s="195"/>
      <c r="C7" s="195"/>
      <c r="D7" s="195"/>
      <c r="E7" s="195"/>
      <c r="F7" s="195"/>
      <c r="G7" s="195"/>
      <c r="H7" s="195"/>
    </row>
    <row r="8" spans="1:10" ht="51" x14ac:dyDescent="0.25">
      <c r="A8" s="102" t="s">
        <v>139</v>
      </c>
      <c r="B8" s="106" t="s">
        <v>134</v>
      </c>
      <c r="C8" s="106" t="s">
        <v>133</v>
      </c>
      <c r="D8" s="106" t="s">
        <v>141</v>
      </c>
      <c r="E8" s="116" t="s">
        <v>138</v>
      </c>
      <c r="F8" s="117" t="s">
        <v>137</v>
      </c>
      <c r="G8" s="117" t="s">
        <v>140</v>
      </c>
      <c r="H8" s="116" t="s">
        <v>135</v>
      </c>
      <c r="I8" s="184" t="s">
        <v>49</v>
      </c>
      <c r="J8" s="184"/>
    </row>
    <row r="9" spans="1:10" ht="15.75" x14ac:dyDescent="0.25">
      <c r="A9" s="186">
        <v>1</v>
      </c>
      <c r="B9" s="186" t="s">
        <v>50</v>
      </c>
      <c r="C9" s="104" t="s">
        <v>0</v>
      </c>
      <c r="D9" s="105">
        <v>1210</v>
      </c>
      <c r="E9" s="105">
        <v>1</v>
      </c>
      <c r="F9" s="105" t="s">
        <v>85</v>
      </c>
      <c r="G9" s="105"/>
      <c r="H9" s="105">
        <v>15650.77</v>
      </c>
      <c r="I9" s="179"/>
      <c r="J9" s="179"/>
    </row>
    <row r="10" spans="1:10" ht="15.75" x14ac:dyDescent="0.25">
      <c r="A10" s="186"/>
      <c r="B10" s="186"/>
      <c r="C10" s="104" t="s">
        <v>7</v>
      </c>
      <c r="D10" s="105">
        <v>1210.0999999999999</v>
      </c>
      <c r="E10" s="105">
        <v>1</v>
      </c>
      <c r="F10" s="105">
        <v>14085.69</v>
      </c>
      <c r="G10" s="105"/>
      <c r="H10" s="105">
        <v>14085.69</v>
      </c>
      <c r="I10" s="179"/>
      <c r="J10" s="179"/>
    </row>
    <row r="11" spans="1:10" ht="15.75" x14ac:dyDescent="0.25">
      <c r="A11" s="186"/>
      <c r="B11" s="186"/>
      <c r="C11" s="104" t="s">
        <v>1</v>
      </c>
      <c r="D11" s="105">
        <v>1222.0999999999999</v>
      </c>
      <c r="E11" s="105">
        <v>1</v>
      </c>
      <c r="F11" s="105">
        <v>13772.68</v>
      </c>
      <c r="G11" s="105"/>
      <c r="H11" s="105">
        <v>13772.68</v>
      </c>
      <c r="I11" s="179"/>
      <c r="J11" s="179"/>
    </row>
    <row r="12" spans="1:10" ht="15.75" x14ac:dyDescent="0.25">
      <c r="A12" s="186"/>
      <c r="B12" s="186"/>
      <c r="C12" s="104" t="s">
        <v>3</v>
      </c>
      <c r="D12" s="105">
        <v>1231</v>
      </c>
      <c r="E12" s="105">
        <v>1</v>
      </c>
      <c r="F12" s="105">
        <v>13303.16</v>
      </c>
      <c r="G12" s="105"/>
      <c r="H12" s="105">
        <v>13303.16</v>
      </c>
      <c r="I12" s="179"/>
      <c r="J12" s="179"/>
    </row>
    <row r="13" spans="1:10" ht="15.75" customHeight="1" x14ac:dyDescent="0.25">
      <c r="A13" s="186"/>
      <c r="B13" s="186"/>
      <c r="C13" s="104" t="s">
        <v>8</v>
      </c>
      <c r="D13" s="105">
        <v>2149.1999999999998</v>
      </c>
      <c r="E13" s="105">
        <v>1</v>
      </c>
      <c r="F13" s="105">
        <v>8237.25</v>
      </c>
      <c r="G13" s="105"/>
      <c r="H13" s="105">
        <v>8237.25</v>
      </c>
      <c r="I13" s="179"/>
      <c r="J13" s="179"/>
    </row>
    <row r="14" spans="1:10" ht="15" customHeight="1" x14ac:dyDescent="0.25">
      <c r="A14" s="186" t="s">
        <v>52</v>
      </c>
      <c r="B14" s="186"/>
      <c r="C14" s="186"/>
      <c r="D14" s="106"/>
      <c r="E14" s="106">
        <v>5</v>
      </c>
      <c r="F14" s="106"/>
      <c r="G14" s="106"/>
      <c r="H14" s="107">
        <f>SUM(H9:H13)</f>
        <v>65049.55</v>
      </c>
      <c r="I14" s="179"/>
      <c r="J14" s="179"/>
    </row>
    <row r="15" spans="1:10" ht="15.75" x14ac:dyDescent="0.25">
      <c r="A15" s="186">
        <v>2</v>
      </c>
      <c r="B15" s="186" t="s">
        <v>53</v>
      </c>
      <c r="C15" s="104" t="s">
        <v>2</v>
      </c>
      <c r="D15" s="105">
        <v>1231</v>
      </c>
      <c r="E15" s="105">
        <v>1</v>
      </c>
      <c r="F15" s="105">
        <v>13772.68</v>
      </c>
      <c r="G15" s="105" t="s">
        <v>86</v>
      </c>
      <c r="H15" s="105">
        <v>15149.95</v>
      </c>
      <c r="I15" s="179"/>
      <c r="J15" s="179"/>
    </row>
    <row r="16" spans="1:10" ht="15" customHeight="1" x14ac:dyDescent="0.25">
      <c r="A16" s="186"/>
      <c r="B16" s="186"/>
      <c r="C16" s="104" t="s">
        <v>54</v>
      </c>
      <c r="D16" s="105">
        <v>2411.1999999999998</v>
      </c>
      <c r="E16" s="105">
        <v>2</v>
      </c>
      <c r="F16" s="105">
        <v>9060.9699999999993</v>
      </c>
      <c r="G16" s="105" t="s">
        <v>87</v>
      </c>
      <c r="H16" s="105">
        <v>19934.14</v>
      </c>
      <c r="I16" s="179"/>
      <c r="J16" s="179"/>
    </row>
    <row r="17" spans="1:10" ht="15.75" x14ac:dyDescent="0.25">
      <c r="A17" s="186"/>
      <c r="B17" s="186"/>
      <c r="C17" s="104" t="s">
        <v>9</v>
      </c>
      <c r="D17" s="108">
        <v>4222</v>
      </c>
      <c r="E17" s="105">
        <v>2</v>
      </c>
      <c r="F17" s="105">
        <v>7001.66</v>
      </c>
      <c r="G17" s="105" t="s">
        <v>88</v>
      </c>
      <c r="H17" s="105">
        <v>15753.74</v>
      </c>
      <c r="I17" s="179"/>
      <c r="J17" s="179"/>
    </row>
    <row r="18" spans="1:10" ht="15.75" x14ac:dyDescent="0.25">
      <c r="A18" s="186"/>
      <c r="B18" s="186"/>
      <c r="C18" s="104" t="s">
        <v>55</v>
      </c>
      <c r="D18" s="108">
        <v>3423</v>
      </c>
      <c r="E18" s="105">
        <v>1</v>
      </c>
      <c r="F18" s="105">
        <v>7413.52</v>
      </c>
      <c r="G18" s="105"/>
      <c r="H18" s="105">
        <v>7413.52</v>
      </c>
      <c r="I18" s="179"/>
      <c r="J18" s="179"/>
    </row>
    <row r="19" spans="1:10" ht="14.25" customHeight="1" x14ac:dyDescent="0.25">
      <c r="A19" s="186"/>
      <c r="B19" s="186"/>
      <c r="C19" s="104" t="s">
        <v>10</v>
      </c>
      <c r="D19" s="108">
        <v>4144</v>
      </c>
      <c r="E19" s="105">
        <v>1</v>
      </c>
      <c r="F19" s="105">
        <v>7413.52</v>
      </c>
      <c r="G19" s="105"/>
      <c r="H19" s="105">
        <v>7413.52</v>
      </c>
      <c r="I19" s="179"/>
      <c r="J19" s="179"/>
    </row>
    <row r="20" spans="1:10" ht="15.75" x14ac:dyDescent="0.25">
      <c r="A20" s="186"/>
      <c r="B20" s="186"/>
      <c r="C20" s="104" t="s">
        <v>30</v>
      </c>
      <c r="D20" s="108">
        <v>9411</v>
      </c>
      <c r="E20" s="105">
        <v>1</v>
      </c>
      <c r="F20" s="105">
        <v>5189.47</v>
      </c>
      <c r="G20" s="105"/>
      <c r="H20" s="105">
        <v>5189.47</v>
      </c>
      <c r="I20" s="179"/>
      <c r="J20" s="179"/>
    </row>
    <row r="21" spans="1:10" ht="15.75" x14ac:dyDescent="0.25">
      <c r="A21" s="186"/>
      <c r="B21" s="186"/>
      <c r="C21" s="104" t="s">
        <v>12</v>
      </c>
      <c r="D21" s="108">
        <v>4115</v>
      </c>
      <c r="E21" s="105">
        <v>1</v>
      </c>
      <c r="F21" s="105">
        <v>6177.94</v>
      </c>
      <c r="G21" s="155" t="s">
        <v>129</v>
      </c>
      <c r="H21" s="105">
        <v>6177.94</v>
      </c>
      <c r="I21" s="179"/>
      <c r="J21" s="179"/>
    </row>
    <row r="22" spans="1:10" ht="47.25" x14ac:dyDescent="0.25">
      <c r="A22" s="186"/>
      <c r="B22" s="186"/>
      <c r="C22" s="109" t="s">
        <v>56</v>
      </c>
      <c r="D22" s="108">
        <v>9161</v>
      </c>
      <c r="E22" s="108">
        <v>1</v>
      </c>
      <c r="F22" s="108">
        <v>6596.56</v>
      </c>
      <c r="G22" s="108"/>
      <c r="H22" s="108">
        <v>6596.56</v>
      </c>
      <c r="I22" s="179"/>
      <c r="J22" s="179"/>
    </row>
    <row r="23" spans="1:10" ht="15" customHeight="1" x14ac:dyDescent="0.25">
      <c r="A23" s="186" t="s">
        <v>52</v>
      </c>
      <c r="B23" s="186"/>
      <c r="C23" s="186"/>
      <c r="D23" s="106"/>
      <c r="E23" s="121">
        <f>SUM(E15:E22)</f>
        <v>10</v>
      </c>
      <c r="F23" s="106"/>
      <c r="G23" s="106"/>
      <c r="H23" s="121">
        <f>SUM(H15:H22)</f>
        <v>83628.84</v>
      </c>
      <c r="I23" s="179"/>
      <c r="J23" s="179"/>
    </row>
    <row r="24" spans="1:10" ht="31.5" x14ac:dyDescent="0.25">
      <c r="A24" s="186"/>
      <c r="B24" s="186"/>
      <c r="C24" s="104" t="s">
        <v>150</v>
      </c>
      <c r="D24" s="105">
        <v>1222.2</v>
      </c>
      <c r="E24" s="105">
        <v>4</v>
      </c>
      <c r="F24" s="105">
        <v>8649.11</v>
      </c>
      <c r="G24" s="105" t="s">
        <v>57</v>
      </c>
      <c r="H24" s="110">
        <f>F24*110%*E24</f>
        <v>38056.084000000003</v>
      </c>
      <c r="I24" s="179"/>
      <c r="J24" s="179"/>
    </row>
    <row r="25" spans="1:10" ht="15.75" x14ac:dyDescent="0.25">
      <c r="A25" s="186"/>
      <c r="B25" s="186"/>
      <c r="C25" s="104" t="s">
        <v>151</v>
      </c>
      <c r="D25" s="105">
        <v>1222.2</v>
      </c>
      <c r="E25" s="105">
        <v>1</v>
      </c>
      <c r="F25" s="105">
        <v>8649.11</v>
      </c>
      <c r="G25" s="105" t="s">
        <v>58</v>
      </c>
      <c r="H25" s="110">
        <f>F25*110%</f>
        <v>9514.0210000000006</v>
      </c>
      <c r="I25" s="179"/>
      <c r="J25" s="179"/>
    </row>
    <row r="26" spans="1:10" ht="13.5" customHeight="1" x14ac:dyDescent="0.25">
      <c r="A26" s="186" t="s">
        <v>52</v>
      </c>
      <c r="B26" s="186"/>
      <c r="C26" s="186"/>
      <c r="D26" s="106"/>
      <c r="E26" s="106">
        <v>5</v>
      </c>
      <c r="F26" s="106"/>
      <c r="G26" s="106"/>
      <c r="H26" s="111">
        <f>SUM(H24:H25)</f>
        <v>47570.105000000003</v>
      </c>
      <c r="I26" s="179"/>
      <c r="J26" s="179"/>
    </row>
    <row r="27" spans="1:10" ht="15.75" customHeight="1" x14ac:dyDescent="0.25">
      <c r="A27" s="186" t="s">
        <v>59</v>
      </c>
      <c r="B27" s="186"/>
      <c r="C27" s="186"/>
      <c r="D27" s="106"/>
      <c r="E27" s="106">
        <v>20</v>
      </c>
      <c r="F27" s="106"/>
      <c r="G27" s="106"/>
      <c r="H27" s="112">
        <f>H14+H23+H26</f>
        <v>196248.49500000002</v>
      </c>
      <c r="I27" s="179"/>
      <c r="J27" s="179"/>
    </row>
    <row r="28" spans="1:10" ht="16.5" customHeight="1" x14ac:dyDescent="0.25">
      <c r="A28" s="90"/>
      <c r="B28" s="92" t="s">
        <v>89</v>
      </c>
      <c r="C28" s="92"/>
      <c r="D28" s="92"/>
      <c r="E28" s="92"/>
      <c r="F28" s="92" t="s">
        <v>90</v>
      </c>
      <c r="H28" s="91"/>
      <c r="I28" s="90"/>
    </row>
    <row r="29" spans="1:10" ht="16.5" customHeight="1" x14ac:dyDescent="0.25">
      <c r="A29" s="90"/>
      <c r="B29" s="92"/>
      <c r="C29" s="92"/>
      <c r="D29" s="92"/>
      <c r="E29" s="92"/>
      <c r="F29" s="92"/>
      <c r="H29" s="91"/>
      <c r="I29" s="90"/>
    </row>
    <row r="30" spans="1:10" ht="15.75" x14ac:dyDescent="0.25">
      <c r="B30" s="93" t="s">
        <v>81</v>
      </c>
      <c r="C30" s="92"/>
      <c r="D30" s="92"/>
      <c r="E30" s="92"/>
      <c r="F30" s="182" t="s">
        <v>82</v>
      </c>
      <c r="G30" s="182"/>
      <c r="H30" s="182"/>
      <c r="I30" s="182"/>
      <c r="J30" s="182"/>
    </row>
    <row r="31" spans="1:10" ht="63" customHeight="1" x14ac:dyDescent="0.25">
      <c r="A31" s="196" t="s">
        <v>98</v>
      </c>
      <c r="B31" s="196"/>
      <c r="C31" s="92"/>
      <c r="D31" s="92"/>
      <c r="E31" s="92"/>
      <c r="F31" s="180" t="s">
        <v>149</v>
      </c>
      <c r="G31" s="180"/>
      <c r="H31" s="180"/>
      <c r="I31" s="180"/>
      <c r="J31" s="180"/>
    </row>
    <row r="32" spans="1:10" ht="18" customHeight="1" x14ac:dyDescent="0.25">
      <c r="B32" s="94" t="s">
        <v>99</v>
      </c>
      <c r="C32" s="94"/>
      <c r="D32" s="94"/>
      <c r="E32" s="92"/>
      <c r="F32" s="181" t="s">
        <v>100</v>
      </c>
      <c r="G32" s="181"/>
      <c r="H32" s="181"/>
      <c r="I32" s="181"/>
      <c r="J32" s="181"/>
    </row>
    <row r="33" spans="1:10" ht="15.75" x14ac:dyDescent="0.25">
      <c r="B33" s="94" t="s">
        <v>101</v>
      </c>
      <c r="C33" s="94"/>
      <c r="D33" s="94"/>
      <c r="E33" s="92"/>
      <c r="F33" s="181" t="s">
        <v>101</v>
      </c>
      <c r="G33" s="181"/>
      <c r="H33" s="181"/>
      <c r="I33" s="181"/>
      <c r="J33" s="181"/>
    </row>
    <row r="34" spans="1:10" ht="15" customHeight="1" x14ac:dyDescent="0.3">
      <c r="A34" s="195" t="s">
        <v>83</v>
      </c>
      <c r="B34" s="195"/>
      <c r="C34" s="195"/>
      <c r="D34" s="195"/>
      <c r="E34" s="195"/>
      <c r="F34" s="195"/>
      <c r="G34" s="195"/>
      <c r="H34" s="195"/>
    </row>
    <row r="35" spans="1:10" ht="15.75" customHeight="1" x14ac:dyDescent="0.3">
      <c r="A35" s="195" t="s">
        <v>84</v>
      </c>
      <c r="B35" s="195"/>
      <c r="C35" s="195"/>
      <c r="D35" s="195"/>
      <c r="E35" s="195"/>
      <c r="F35" s="195"/>
      <c r="G35" s="195"/>
      <c r="H35" s="195"/>
    </row>
    <row r="36" spans="1:10" ht="14.25" customHeight="1" x14ac:dyDescent="0.3">
      <c r="A36" s="195" t="s">
        <v>109</v>
      </c>
      <c r="B36" s="195"/>
      <c r="C36" s="195"/>
      <c r="D36" s="195"/>
      <c r="E36" s="195"/>
      <c r="F36" s="195"/>
      <c r="G36" s="195"/>
      <c r="H36" s="195"/>
    </row>
    <row r="37" spans="1:10" ht="45" customHeight="1" x14ac:dyDescent="0.25">
      <c r="A37" s="102" t="s">
        <v>139</v>
      </c>
      <c r="B37" s="102" t="s">
        <v>134</v>
      </c>
      <c r="C37" s="102" t="s">
        <v>133</v>
      </c>
      <c r="D37" s="102" t="s">
        <v>45</v>
      </c>
      <c r="E37" s="103" t="s">
        <v>138</v>
      </c>
      <c r="F37" s="102" t="s">
        <v>132</v>
      </c>
      <c r="G37" s="102" t="s">
        <v>137</v>
      </c>
      <c r="H37" s="102" t="s">
        <v>136</v>
      </c>
      <c r="I37" s="120" t="s">
        <v>135</v>
      </c>
      <c r="J37" s="106" t="s">
        <v>49</v>
      </c>
    </row>
    <row r="38" spans="1:10" ht="15.75" x14ac:dyDescent="0.25">
      <c r="A38" s="186">
        <v>3</v>
      </c>
      <c r="B38" s="186" t="s">
        <v>60</v>
      </c>
      <c r="C38" s="156" t="s">
        <v>13</v>
      </c>
      <c r="D38" s="122">
        <v>3115</v>
      </c>
      <c r="E38" s="123">
        <v>1</v>
      </c>
      <c r="F38" s="105" t="s">
        <v>51</v>
      </c>
      <c r="G38" s="105">
        <v>8974.91</v>
      </c>
      <c r="H38" s="123"/>
      <c r="I38" s="122">
        <v>8974.91</v>
      </c>
      <c r="J38" s="123"/>
    </row>
    <row r="39" spans="1:10" ht="31.5" x14ac:dyDescent="0.25">
      <c r="A39" s="186"/>
      <c r="B39" s="186"/>
      <c r="C39" s="113" t="s">
        <v>143</v>
      </c>
      <c r="D39" s="105">
        <v>7231</v>
      </c>
      <c r="E39" s="105">
        <v>1</v>
      </c>
      <c r="F39" s="105">
        <v>41.61</v>
      </c>
      <c r="G39" s="105">
        <v>6910.68</v>
      </c>
      <c r="H39" s="105"/>
      <c r="I39" s="105">
        <v>6910.68</v>
      </c>
      <c r="J39" s="105"/>
    </row>
    <row r="40" spans="1:10" ht="31.5" x14ac:dyDescent="0.25">
      <c r="A40" s="186"/>
      <c r="B40" s="186"/>
      <c r="C40" s="113" t="s">
        <v>144</v>
      </c>
      <c r="D40" s="105">
        <v>7212</v>
      </c>
      <c r="E40" s="105">
        <v>1</v>
      </c>
      <c r="F40" s="105">
        <v>45.12</v>
      </c>
      <c r="G40" s="105">
        <v>7494.05</v>
      </c>
      <c r="H40" s="105"/>
      <c r="I40" s="105">
        <v>7494.05</v>
      </c>
      <c r="J40" s="105"/>
    </row>
    <row r="41" spans="1:10" ht="15.75" x14ac:dyDescent="0.25">
      <c r="A41" s="186"/>
      <c r="B41" s="186"/>
      <c r="C41" s="129" t="s">
        <v>61</v>
      </c>
      <c r="D41" s="105">
        <v>8290</v>
      </c>
      <c r="E41" s="105">
        <v>1</v>
      </c>
      <c r="F41" s="105">
        <v>57.82</v>
      </c>
      <c r="G41" s="105">
        <v>9603.16</v>
      </c>
      <c r="H41" s="155"/>
      <c r="I41" s="105">
        <v>9603.16</v>
      </c>
      <c r="J41" s="105"/>
    </row>
    <row r="42" spans="1:10" ht="15.75" x14ac:dyDescent="0.25">
      <c r="A42" s="186"/>
      <c r="B42" s="186"/>
      <c r="C42" s="129" t="s">
        <v>62</v>
      </c>
      <c r="D42" s="105">
        <v>8290</v>
      </c>
      <c r="E42" s="105">
        <v>1</v>
      </c>
      <c r="F42" s="105">
        <v>52.42</v>
      </c>
      <c r="G42" s="105">
        <v>8705.66</v>
      </c>
      <c r="H42" s="155"/>
      <c r="I42" s="105">
        <v>8705.66</v>
      </c>
      <c r="J42" s="105"/>
    </row>
    <row r="43" spans="1:10" ht="15.75" x14ac:dyDescent="0.25">
      <c r="A43" s="186"/>
      <c r="B43" s="186"/>
      <c r="C43" s="113" t="s">
        <v>92</v>
      </c>
      <c r="D43" s="105">
        <v>8290</v>
      </c>
      <c r="E43" s="105">
        <v>1</v>
      </c>
      <c r="F43" s="105">
        <v>53.5</v>
      </c>
      <c r="G43" s="105">
        <v>8885.16</v>
      </c>
      <c r="H43" s="105" t="s">
        <v>148</v>
      </c>
      <c r="I43" s="110">
        <f>G43*120%</f>
        <v>10662.191999999999</v>
      </c>
      <c r="J43" s="105"/>
    </row>
    <row r="44" spans="1:10" ht="15.75" x14ac:dyDescent="0.25">
      <c r="A44" s="186"/>
      <c r="B44" s="186"/>
      <c r="C44" s="129" t="s">
        <v>63</v>
      </c>
      <c r="D44" s="105">
        <v>8290</v>
      </c>
      <c r="E44" s="105">
        <v>1</v>
      </c>
      <c r="F44" s="105">
        <v>52.42</v>
      </c>
      <c r="G44" s="105">
        <v>8705.66</v>
      </c>
      <c r="H44" s="155"/>
      <c r="I44" s="105">
        <v>8705.66</v>
      </c>
      <c r="J44" s="105"/>
    </row>
    <row r="45" spans="1:10" ht="15.75" x14ac:dyDescent="0.25">
      <c r="A45" s="186"/>
      <c r="B45" s="186"/>
      <c r="C45" s="129" t="s">
        <v>64</v>
      </c>
      <c r="D45" s="108">
        <v>8331</v>
      </c>
      <c r="E45" s="108">
        <v>2</v>
      </c>
      <c r="F45" s="108">
        <v>41.61</v>
      </c>
      <c r="G45" s="108">
        <v>6910.68</v>
      </c>
      <c r="H45" s="155"/>
      <c r="I45" s="108">
        <f>G45*E45</f>
        <v>13821.36</v>
      </c>
      <c r="J45" s="105"/>
    </row>
    <row r="46" spans="1:10" ht="15.75" x14ac:dyDescent="0.25">
      <c r="A46" s="186"/>
      <c r="B46" s="186"/>
      <c r="C46" s="129" t="s">
        <v>110</v>
      </c>
      <c r="D46" s="108">
        <v>8331</v>
      </c>
      <c r="E46" s="108">
        <v>1</v>
      </c>
      <c r="F46" s="108">
        <v>32.42</v>
      </c>
      <c r="G46" s="108">
        <v>5384.95</v>
      </c>
      <c r="H46" s="155"/>
      <c r="I46" s="108">
        <v>5384.95</v>
      </c>
      <c r="J46" s="105"/>
    </row>
    <row r="47" spans="1:10" ht="31.5" x14ac:dyDescent="0.25">
      <c r="A47" s="186"/>
      <c r="B47" s="186"/>
      <c r="C47" s="129" t="s">
        <v>122</v>
      </c>
      <c r="D47" s="105">
        <v>8290</v>
      </c>
      <c r="E47" s="105">
        <v>1</v>
      </c>
      <c r="F47" s="105">
        <v>41.61</v>
      </c>
      <c r="G47" s="105">
        <v>6910.68</v>
      </c>
      <c r="H47" s="155"/>
      <c r="I47" s="105">
        <v>6910.68</v>
      </c>
      <c r="J47" s="105"/>
    </row>
    <row r="48" spans="1:10" ht="31.5" x14ac:dyDescent="0.25">
      <c r="A48" s="186"/>
      <c r="B48" s="186"/>
      <c r="C48" s="113" t="s">
        <v>38</v>
      </c>
      <c r="D48" s="105"/>
      <c r="E48" s="105">
        <v>1</v>
      </c>
      <c r="F48" s="105">
        <v>39.43</v>
      </c>
      <c r="G48" s="105">
        <v>6548.61</v>
      </c>
      <c r="H48" s="105"/>
      <c r="I48" s="105">
        <v>6548.61</v>
      </c>
      <c r="J48" s="105"/>
    </row>
    <row r="49" spans="1:10" ht="15.75" x14ac:dyDescent="0.25">
      <c r="A49" s="186"/>
      <c r="B49" s="186"/>
      <c r="C49" s="113" t="s">
        <v>91</v>
      </c>
      <c r="D49" s="105">
        <v>3119</v>
      </c>
      <c r="E49" s="105">
        <v>1</v>
      </c>
      <c r="F49" s="105">
        <v>31.25</v>
      </c>
      <c r="G49" s="105">
        <v>5189.47</v>
      </c>
      <c r="H49" s="105"/>
      <c r="I49" s="105">
        <v>5189.47</v>
      </c>
      <c r="J49" s="105"/>
    </row>
    <row r="50" spans="1:10" ht="16.5" customHeight="1" x14ac:dyDescent="0.25">
      <c r="A50" s="186" t="s">
        <v>52</v>
      </c>
      <c r="B50" s="186"/>
      <c r="C50" s="186"/>
      <c r="D50" s="106"/>
      <c r="E50" s="106">
        <f>SUM(E38:E49)</f>
        <v>13</v>
      </c>
      <c r="F50" s="106"/>
      <c r="G50" s="106"/>
      <c r="H50" s="106"/>
      <c r="I50" s="111">
        <f>SUM(I38:I49)</f>
        <v>98911.381999999998</v>
      </c>
      <c r="J50" s="106"/>
    </row>
    <row r="51" spans="1:10" ht="27.75" customHeight="1" x14ac:dyDescent="0.25">
      <c r="A51" s="186">
        <v>4</v>
      </c>
      <c r="B51" s="186" t="s">
        <v>65</v>
      </c>
      <c r="C51" s="113" t="s">
        <v>66</v>
      </c>
      <c r="D51" s="105">
        <v>7241</v>
      </c>
      <c r="E51" s="105">
        <v>4</v>
      </c>
      <c r="F51" s="105">
        <v>38.64</v>
      </c>
      <c r="G51" s="105">
        <v>6417.06</v>
      </c>
      <c r="H51" s="105"/>
      <c r="I51" s="105">
        <f>G51*E51</f>
        <v>25668.240000000002</v>
      </c>
      <c r="J51" s="105"/>
    </row>
    <row r="52" spans="1:10" ht="27" customHeight="1" x14ac:dyDescent="0.25">
      <c r="A52" s="186"/>
      <c r="B52" s="186"/>
      <c r="C52" s="132" t="s">
        <v>67</v>
      </c>
      <c r="D52" s="192">
        <v>7233</v>
      </c>
      <c r="E52" s="192">
        <v>10</v>
      </c>
      <c r="F52" s="192">
        <v>38.64</v>
      </c>
      <c r="G52" s="192">
        <v>6417.06</v>
      </c>
      <c r="H52" s="192"/>
      <c r="I52" s="193">
        <f>G52*E52</f>
        <v>64170.600000000006</v>
      </c>
      <c r="J52" s="197"/>
    </row>
    <row r="53" spans="1:10" ht="15.75" x14ac:dyDescent="0.25">
      <c r="A53" s="186"/>
      <c r="B53" s="186"/>
      <c r="C53" s="132" t="s">
        <v>68</v>
      </c>
      <c r="D53" s="192"/>
      <c r="E53" s="192"/>
      <c r="F53" s="192"/>
      <c r="G53" s="192"/>
      <c r="H53" s="192"/>
      <c r="I53" s="193"/>
      <c r="J53" s="197"/>
    </row>
    <row r="54" spans="1:10" ht="15.75" customHeight="1" x14ac:dyDescent="0.25">
      <c r="A54" s="187" t="s">
        <v>69</v>
      </c>
      <c r="B54" s="188"/>
      <c r="C54" s="189"/>
      <c r="D54" s="105"/>
      <c r="E54" s="106">
        <f>SUM(E51:E53)</f>
        <v>14</v>
      </c>
      <c r="F54" s="105"/>
      <c r="G54" s="105"/>
      <c r="H54" s="105"/>
      <c r="I54" s="112">
        <f>SUM(I51:I53)</f>
        <v>89838.840000000011</v>
      </c>
      <c r="J54" s="105"/>
    </row>
    <row r="55" spans="1:10" ht="31.5" x14ac:dyDescent="0.25">
      <c r="A55" s="190">
        <v>5</v>
      </c>
      <c r="B55" s="190" t="s">
        <v>70</v>
      </c>
      <c r="C55" s="129" t="s">
        <v>21</v>
      </c>
      <c r="D55" s="105">
        <v>1222</v>
      </c>
      <c r="E55" s="105">
        <v>1</v>
      </c>
      <c r="F55" s="105" t="s">
        <v>51</v>
      </c>
      <c r="G55" s="105">
        <v>8649.11</v>
      </c>
      <c r="H55" s="155"/>
      <c r="I55" s="105">
        <v>8649.11</v>
      </c>
      <c r="J55" s="105"/>
    </row>
    <row r="56" spans="1:10" ht="31.5" x14ac:dyDescent="0.25">
      <c r="A56" s="194"/>
      <c r="B56" s="194"/>
      <c r="C56" s="114" t="s">
        <v>121</v>
      </c>
      <c r="D56" s="105">
        <v>9162</v>
      </c>
      <c r="E56" s="105">
        <v>10</v>
      </c>
      <c r="F56" s="105">
        <v>31.25</v>
      </c>
      <c r="G56" s="105">
        <v>5189.47</v>
      </c>
      <c r="H56" s="105"/>
      <c r="I56" s="110">
        <f>G56*E56</f>
        <v>51894.700000000004</v>
      </c>
      <c r="J56" s="105"/>
    </row>
    <row r="57" spans="1:10" ht="47.25" x14ac:dyDescent="0.25">
      <c r="A57" s="194"/>
      <c r="B57" s="194"/>
      <c r="C57" s="114" t="s">
        <v>71</v>
      </c>
      <c r="D57" s="115">
        <v>5143</v>
      </c>
      <c r="E57" s="105">
        <v>4</v>
      </c>
      <c r="F57" s="105">
        <v>31.25</v>
      </c>
      <c r="G57" s="105">
        <v>5189.47</v>
      </c>
      <c r="H57" s="105" t="s">
        <v>93</v>
      </c>
      <c r="I57" s="110">
        <f>G57*110%*E57</f>
        <v>22833.668000000001</v>
      </c>
      <c r="J57" s="105"/>
    </row>
    <row r="58" spans="1:10" ht="15.75" x14ac:dyDescent="0.25">
      <c r="A58" s="194"/>
      <c r="B58" s="194"/>
      <c r="C58" s="137" t="s">
        <v>22</v>
      </c>
      <c r="D58" s="115">
        <v>9333</v>
      </c>
      <c r="E58" s="105">
        <v>6</v>
      </c>
      <c r="F58" s="105">
        <v>40.53</v>
      </c>
      <c r="G58" s="105">
        <v>6731.18</v>
      </c>
      <c r="H58" s="155"/>
      <c r="I58" s="105">
        <f>G58*E58</f>
        <v>40387.08</v>
      </c>
      <c r="J58" s="105"/>
    </row>
    <row r="59" spans="1:10" ht="15.75" x14ac:dyDescent="0.25">
      <c r="A59" s="194"/>
      <c r="B59" s="194"/>
      <c r="C59" s="114" t="s">
        <v>23</v>
      </c>
      <c r="D59" s="115" t="s">
        <v>145</v>
      </c>
      <c r="E59" s="105">
        <v>2</v>
      </c>
      <c r="F59" s="105">
        <v>31.25</v>
      </c>
      <c r="G59" s="105">
        <v>5189.47</v>
      </c>
      <c r="H59" s="105"/>
      <c r="I59" s="105">
        <f>G59*E59</f>
        <v>10378.94</v>
      </c>
      <c r="J59" s="105"/>
    </row>
    <row r="60" spans="1:10" ht="31.5" x14ac:dyDescent="0.25">
      <c r="A60" s="194"/>
      <c r="B60" s="194"/>
      <c r="C60" s="114" t="s">
        <v>96</v>
      </c>
      <c r="D60" s="115">
        <v>6113</v>
      </c>
      <c r="E60" s="105">
        <v>1</v>
      </c>
      <c r="F60" s="105" t="s">
        <v>51</v>
      </c>
      <c r="G60" s="105">
        <v>9036.3799999999992</v>
      </c>
      <c r="H60" s="105"/>
      <c r="I60" s="105">
        <v>9036.3799999999992</v>
      </c>
      <c r="J60" s="105"/>
    </row>
    <row r="61" spans="1:10" ht="15.75" x14ac:dyDescent="0.25">
      <c r="A61" s="191"/>
      <c r="B61" s="191"/>
      <c r="C61" s="114" t="s">
        <v>94</v>
      </c>
      <c r="D61" s="115">
        <v>6113</v>
      </c>
      <c r="E61" s="105">
        <v>3</v>
      </c>
      <c r="F61" s="105">
        <v>32.65</v>
      </c>
      <c r="G61" s="105">
        <v>5421.83</v>
      </c>
      <c r="H61" s="105"/>
      <c r="I61" s="105">
        <f>G61*E61</f>
        <v>16265.49</v>
      </c>
      <c r="J61" s="105"/>
    </row>
    <row r="62" spans="1:10" ht="16.5" customHeight="1" x14ac:dyDescent="0.25">
      <c r="A62" s="186" t="s">
        <v>52</v>
      </c>
      <c r="B62" s="186"/>
      <c r="C62" s="186"/>
      <c r="D62" s="106"/>
      <c r="E62" s="106">
        <f>SUM(E55:E61)</f>
        <v>27</v>
      </c>
      <c r="F62" s="106"/>
      <c r="G62" s="106"/>
      <c r="H62" s="106"/>
      <c r="I62" s="111">
        <f>SUM(I55:I61)</f>
        <v>159445.36799999999</v>
      </c>
      <c r="J62" s="106"/>
    </row>
    <row r="63" spans="1:10" ht="31.5" x14ac:dyDescent="0.25">
      <c r="A63" s="102">
        <v>6</v>
      </c>
      <c r="B63" s="102" t="s">
        <v>72</v>
      </c>
      <c r="C63" s="113" t="s">
        <v>97</v>
      </c>
      <c r="D63" s="105">
        <v>7990</v>
      </c>
      <c r="E63" s="105">
        <v>1</v>
      </c>
      <c r="F63" s="105">
        <v>33.729999999999997</v>
      </c>
      <c r="G63" s="105">
        <v>5601.33</v>
      </c>
      <c r="H63" s="105" t="s">
        <v>51</v>
      </c>
      <c r="I63" s="105">
        <v>5601.33</v>
      </c>
      <c r="J63" s="105"/>
    </row>
    <row r="64" spans="1:10" ht="16.5" customHeight="1" x14ac:dyDescent="0.25">
      <c r="A64" s="186" t="s">
        <v>52</v>
      </c>
      <c r="B64" s="186"/>
      <c r="C64" s="186"/>
      <c r="D64" s="105"/>
      <c r="E64" s="106">
        <f>SUM(E63)</f>
        <v>1</v>
      </c>
      <c r="F64" s="105"/>
      <c r="G64" s="105"/>
      <c r="H64" s="105"/>
      <c r="I64" s="112">
        <f>SUM(I63)</f>
        <v>5601.33</v>
      </c>
      <c r="J64" s="105"/>
    </row>
    <row r="65" spans="1:10" ht="15.75" customHeight="1" x14ac:dyDescent="0.25">
      <c r="A65" s="190">
        <v>7</v>
      </c>
      <c r="B65" s="190" t="s">
        <v>73</v>
      </c>
      <c r="C65" s="113" t="s">
        <v>6</v>
      </c>
      <c r="D65" s="105">
        <v>9162</v>
      </c>
      <c r="E65" s="105">
        <v>30</v>
      </c>
      <c r="F65" s="105">
        <v>31.25</v>
      </c>
      <c r="G65" s="105">
        <v>5189.47</v>
      </c>
      <c r="H65" s="105"/>
      <c r="I65" s="105">
        <f>G65*E65</f>
        <v>155684.1</v>
      </c>
      <c r="J65" s="105"/>
    </row>
    <row r="66" spans="1:10" ht="15.75" x14ac:dyDescent="0.25">
      <c r="A66" s="191"/>
      <c r="B66" s="191"/>
      <c r="C66" s="113" t="s">
        <v>74</v>
      </c>
      <c r="D66" s="105">
        <v>9333</v>
      </c>
      <c r="E66" s="105">
        <v>2</v>
      </c>
      <c r="F66" s="105">
        <v>40.53</v>
      </c>
      <c r="G66" s="105">
        <v>6731.18</v>
      </c>
      <c r="H66" s="105"/>
      <c r="I66" s="110">
        <f>G66*E66</f>
        <v>13462.36</v>
      </c>
      <c r="J66" s="105"/>
    </row>
    <row r="67" spans="1:10" ht="15.75" x14ac:dyDescent="0.25">
      <c r="A67" s="187" t="s">
        <v>69</v>
      </c>
      <c r="B67" s="188"/>
      <c r="C67" s="189"/>
      <c r="D67" s="105"/>
      <c r="E67" s="106">
        <f>SUM(E65:E66)</f>
        <v>32</v>
      </c>
      <c r="F67" s="105"/>
      <c r="G67" s="105"/>
      <c r="H67" s="105"/>
      <c r="I67" s="106">
        <f>SUM(I65:I66)</f>
        <v>169146.46000000002</v>
      </c>
      <c r="J67" s="105"/>
    </row>
    <row r="68" spans="1:10" ht="15.75" customHeight="1" x14ac:dyDescent="0.25">
      <c r="A68" s="124">
        <v>8</v>
      </c>
      <c r="B68" s="124" t="s">
        <v>75</v>
      </c>
      <c r="C68" s="125" t="s">
        <v>95</v>
      </c>
      <c r="D68" s="126">
        <v>9162</v>
      </c>
      <c r="E68" s="126">
        <v>2</v>
      </c>
      <c r="F68" s="126">
        <v>31.25</v>
      </c>
      <c r="G68" s="126">
        <v>5189.47</v>
      </c>
      <c r="H68" s="126"/>
      <c r="I68" s="126">
        <f>G68*E68</f>
        <v>10378.94</v>
      </c>
      <c r="J68" s="123"/>
    </row>
    <row r="69" spans="1:10" ht="15.75" customHeight="1" x14ac:dyDescent="0.25">
      <c r="A69" s="187" t="s">
        <v>69</v>
      </c>
      <c r="B69" s="188"/>
      <c r="C69" s="189"/>
      <c r="D69" s="105"/>
      <c r="E69" s="106">
        <f>SUM(E68)</f>
        <v>2</v>
      </c>
      <c r="F69" s="105"/>
      <c r="G69" s="105"/>
      <c r="H69" s="105"/>
      <c r="I69" s="112">
        <f>SUM(I68)</f>
        <v>10378.94</v>
      </c>
      <c r="J69" s="105"/>
    </row>
    <row r="70" spans="1:10" ht="15.75" x14ac:dyDescent="0.25">
      <c r="A70" s="186">
        <v>9</v>
      </c>
      <c r="B70" s="186" t="s">
        <v>76</v>
      </c>
      <c r="C70" s="113" t="s">
        <v>77</v>
      </c>
      <c r="D70" s="105">
        <v>9152</v>
      </c>
      <c r="E70" s="105">
        <v>4</v>
      </c>
      <c r="F70" s="105">
        <v>26.04</v>
      </c>
      <c r="G70" s="105">
        <v>4324.5600000000004</v>
      </c>
      <c r="H70" s="105"/>
      <c r="I70" s="105">
        <f>G70*E70</f>
        <v>17298.240000000002</v>
      </c>
      <c r="J70" s="105"/>
    </row>
    <row r="71" spans="1:10" ht="25.5" x14ac:dyDescent="0.25">
      <c r="A71" s="186"/>
      <c r="B71" s="186"/>
      <c r="C71" s="157" t="s">
        <v>78</v>
      </c>
      <c r="D71" s="105">
        <v>9132</v>
      </c>
      <c r="E71" s="105">
        <v>0.3</v>
      </c>
      <c r="F71" s="105">
        <v>31.25</v>
      </c>
      <c r="G71" s="105">
        <v>5189.47</v>
      </c>
      <c r="H71" s="105" t="s">
        <v>93</v>
      </c>
      <c r="I71" s="110">
        <f>G71*110%*E71</f>
        <v>1712.5251000000001</v>
      </c>
      <c r="J71" s="105"/>
    </row>
    <row r="72" spans="1:10" ht="31.5" x14ac:dyDescent="0.25">
      <c r="A72" s="186"/>
      <c r="B72" s="186"/>
      <c r="C72" s="113" t="s">
        <v>79</v>
      </c>
      <c r="D72" s="105">
        <v>9132</v>
      </c>
      <c r="E72" s="105">
        <v>0.5</v>
      </c>
      <c r="F72" s="105">
        <v>26.04</v>
      </c>
      <c r="G72" s="105">
        <v>4324.5600000000004</v>
      </c>
      <c r="H72" s="105"/>
      <c r="I72" s="110">
        <f>G72*E72</f>
        <v>2162.2800000000002</v>
      </c>
      <c r="J72" s="105"/>
    </row>
    <row r="73" spans="1:10" ht="16.5" customHeight="1" x14ac:dyDescent="0.25">
      <c r="A73" s="186" t="s">
        <v>69</v>
      </c>
      <c r="B73" s="186"/>
      <c r="C73" s="186"/>
      <c r="D73" s="106"/>
      <c r="E73" s="106">
        <f>SUM(E70:E72)</f>
        <v>4.8</v>
      </c>
      <c r="F73" s="106"/>
      <c r="G73" s="106"/>
      <c r="H73" s="106"/>
      <c r="I73" s="112">
        <f>SUM(I70:I72)</f>
        <v>21173.045099999999</v>
      </c>
      <c r="J73" s="106"/>
    </row>
    <row r="74" spans="1:10" ht="15.75" customHeight="1" x14ac:dyDescent="0.25">
      <c r="A74" s="186" t="s">
        <v>80</v>
      </c>
      <c r="B74" s="186"/>
      <c r="C74" s="186"/>
      <c r="D74" s="184"/>
      <c r="E74" s="185">
        <f>E50+E54+E62+E64+E67+E69+E73</f>
        <v>93.8</v>
      </c>
      <c r="F74" s="184"/>
      <c r="G74" s="184"/>
      <c r="H74" s="184"/>
      <c r="I74" s="185">
        <f>I50+I54+I62+I64+I67+I69+I73</f>
        <v>554495.36509999994</v>
      </c>
      <c r="J74" s="184"/>
    </row>
    <row r="75" spans="1:10" ht="15.75" customHeight="1" x14ac:dyDescent="0.25">
      <c r="A75" s="186"/>
      <c r="B75" s="186"/>
      <c r="C75" s="186"/>
      <c r="D75" s="184"/>
      <c r="E75" s="185"/>
      <c r="F75" s="184"/>
      <c r="G75" s="184"/>
      <c r="H75" s="184"/>
      <c r="I75" s="185"/>
      <c r="J75" s="184"/>
    </row>
    <row r="76" spans="1:10" ht="15.75" customHeight="1" x14ac:dyDescent="0.25">
      <c r="A76" s="90"/>
      <c r="B76" s="90"/>
      <c r="C76" s="90"/>
      <c r="D76" s="90"/>
      <c r="E76" s="99"/>
      <c r="F76" s="90"/>
      <c r="G76" s="90"/>
      <c r="H76" s="90"/>
      <c r="I76" s="99"/>
      <c r="J76" s="90"/>
    </row>
    <row r="77" spans="1:10" ht="15.75" x14ac:dyDescent="0.25">
      <c r="B77" s="92" t="s">
        <v>89</v>
      </c>
      <c r="C77" s="92"/>
      <c r="D77" s="92"/>
      <c r="E77" s="92"/>
      <c r="F77" s="92" t="s">
        <v>90</v>
      </c>
    </row>
    <row r="78" spans="1:10" x14ac:dyDescent="0.25">
      <c r="I78" s="89">
        <f>I74+H27</f>
        <v>750743.86009999993</v>
      </c>
    </row>
  </sheetData>
  <mergeCells count="78">
    <mergeCell ref="A2:B2"/>
    <mergeCell ref="A9:A13"/>
    <mergeCell ref="B9:B13"/>
    <mergeCell ref="A14:C14"/>
    <mergeCell ref="A23:C23"/>
    <mergeCell ref="A26:C26"/>
    <mergeCell ref="A27:C27"/>
    <mergeCell ref="A5:H5"/>
    <mergeCell ref="A6:H6"/>
    <mergeCell ref="A7:H7"/>
    <mergeCell ref="A15:A22"/>
    <mergeCell ref="B15:B22"/>
    <mergeCell ref="A24:A25"/>
    <mergeCell ref="B24:B25"/>
    <mergeCell ref="A34:H34"/>
    <mergeCell ref="A36:H36"/>
    <mergeCell ref="A31:B31"/>
    <mergeCell ref="A35:H35"/>
    <mergeCell ref="A62:C62"/>
    <mergeCell ref="F33:J33"/>
    <mergeCell ref="J52:J53"/>
    <mergeCell ref="A50:C50"/>
    <mergeCell ref="A38:A49"/>
    <mergeCell ref="B38:B49"/>
    <mergeCell ref="A64:C64"/>
    <mergeCell ref="G52:G53"/>
    <mergeCell ref="H52:H53"/>
    <mergeCell ref="I52:I53"/>
    <mergeCell ref="A51:A53"/>
    <mergeCell ref="B51:B53"/>
    <mergeCell ref="D52:D53"/>
    <mergeCell ref="E52:E53"/>
    <mergeCell ref="F52:F53"/>
    <mergeCell ref="B55:B61"/>
    <mergeCell ref="A55:A61"/>
    <mergeCell ref="A54:C54"/>
    <mergeCell ref="I27:J27"/>
    <mergeCell ref="H74:H75"/>
    <mergeCell ref="I74:I75"/>
    <mergeCell ref="J74:J75"/>
    <mergeCell ref="A73:C73"/>
    <mergeCell ref="A74:C75"/>
    <mergeCell ref="D74:D75"/>
    <mergeCell ref="E74:E75"/>
    <mergeCell ref="F74:F75"/>
    <mergeCell ref="G74:G75"/>
    <mergeCell ref="A70:A72"/>
    <mergeCell ref="B70:B72"/>
    <mergeCell ref="A67:C67"/>
    <mergeCell ref="A65:A66"/>
    <mergeCell ref="B65:B66"/>
    <mergeCell ref="A69:C69"/>
    <mergeCell ref="F1:J1"/>
    <mergeCell ref="F2:J2"/>
    <mergeCell ref="F3:J3"/>
    <mergeCell ref="F4:J4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F31:J31"/>
    <mergeCell ref="F32:J32"/>
    <mergeCell ref="F30:J30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</mergeCells>
  <pageMargins left="0.25" right="0.25" top="0.2" bottom="0.3" header="0.2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M6" sqref="M6"/>
    </sheetView>
  </sheetViews>
  <sheetFormatPr defaultRowHeight="15" x14ac:dyDescent="0.25"/>
  <cols>
    <col min="1" max="1" width="6.5703125" customWidth="1"/>
    <col min="2" max="2" width="47.140625" customWidth="1"/>
    <col min="3" max="3" width="10.7109375" customWidth="1"/>
    <col min="4" max="4" width="12.140625" customWidth="1"/>
    <col min="5" max="5" width="11.85546875" customWidth="1"/>
    <col min="6" max="6" width="12.85546875" customWidth="1"/>
    <col min="7" max="7" width="12.140625" customWidth="1"/>
    <col min="8" max="8" width="12.7109375" customWidth="1"/>
  </cols>
  <sheetData>
    <row r="1" spans="1:10" ht="16.5" customHeight="1" x14ac:dyDescent="0.25">
      <c r="B1" s="93"/>
      <c r="C1" s="92"/>
      <c r="D1" s="92"/>
      <c r="E1" s="92"/>
      <c r="F1" s="182" t="s">
        <v>82</v>
      </c>
      <c r="G1" s="182"/>
      <c r="H1" s="182"/>
      <c r="I1" s="118"/>
      <c r="J1" s="118"/>
    </row>
    <row r="2" spans="1:10" ht="34.5" customHeight="1" x14ac:dyDescent="0.25">
      <c r="A2" s="196"/>
      <c r="B2" s="196"/>
      <c r="C2" s="92"/>
      <c r="D2" s="92"/>
      <c r="E2" s="92"/>
      <c r="F2" s="180" t="s">
        <v>156</v>
      </c>
      <c r="G2" s="180"/>
      <c r="H2" s="180"/>
      <c r="I2" s="119"/>
      <c r="J2" s="119"/>
    </row>
    <row r="3" spans="1:10" ht="15.75" x14ac:dyDescent="0.25">
      <c r="B3" s="101"/>
      <c r="C3" s="101"/>
      <c r="D3" s="101"/>
      <c r="E3" s="92"/>
      <c r="F3" s="181" t="s">
        <v>99</v>
      </c>
      <c r="G3" s="181"/>
      <c r="H3" s="181"/>
      <c r="I3" s="101"/>
      <c r="J3" s="101"/>
    </row>
    <row r="4" spans="1:10" ht="15.75" x14ac:dyDescent="0.25">
      <c r="B4" s="101"/>
      <c r="C4" s="101"/>
      <c r="D4" s="101"/>
      <c r="E4" s="92"/>
      <c r="F4" s="181" t="s">
        <v>101</v>
      </c>
      <c r="G4" s="181"/>
      <c r="H4" s="181"/>
      <c r="I4" s="101"/>
      <c r="J4" s="101"/>
    </row>
    <row r="5" spans="1:10" ht="15.75" x14ac:dyDescent="0.25">
      <c r="B5" s="95"/>
      <c r="C5" s="95"/>
      <c r="D5" s="92"/>
      <c r="E5" s="200"/>
      <c r="F5" s="200"/>
    </row>
    <row r="6" spans="1:10" ht="15.75" x14ac:dyDescent="0.25">
      <c r="A6" s="209" t="s">
        <v>111</v>
      </c>
      <c r="B6" s="209"/>
      <c r="C6" s="209"/>
      <c r="D6" s="209"/>
      <c r="E6" s="209"/>
      <c r="F6" s="209"/>
      <c r="G6" s="209"/>
      <c r="H6" s="209"/>
    </row>
    <row r="7" spans="1:10" ht="18.75" x14ac:dyDescent="0.3">
      <c r="A7" s="195" t="s">
        <v>83</v>
      </c>
      <c r="B7" s="195"/>
      <c r="C7" s="195"/>
      <c r="D7" s="195"/>
      <c r="E7" s="195"/>
      <c r="F7" s="195"/>
      <c r="G7" s="195"/>
      <c r="H7" s="195"/>
    </row>
    <row r="8" spans="1:10" ht="18.75" x14ac:dyDescent="0.3">
      <c r="A8" s="195" t="s">
        <v>84</v>
      </c>
      <c r="B8" s="195"/>
      <c r="C8" s="195"/>
      <c r="D8" s="195"/>
      <c r="E8" s="195"/>
      <c r="F8" s="195"/>
      <c r="G8" s="195"/>
      <c r="H8" s="195"/>
    </row>
    <row r="9" spans="1:10" ht="18.75" x14ac:dyDescent="0.3">
      <c r="A9" s="201" t="s">
        <v>112</v>
      </c>
      <c r="B9" s="201"/>
      <c r="C9" s="201"/>
      <c r="D9" s="201"/>
      <c r="E9" s="201"/>
      <c r="F9" s="201"/>
      <c r="G9" s="201"/>
      <c r="H9" s="201"/>
    </row>
    <row r="10" spans="1:10" ht="51" x14ac:dyDescent="0.25">
      <c r="A10" s="102" t="s">
        <v>43</v>
      </c>
      <c r="B10" s="102" t="s">
        <v>44</v>
      </c>
      <c r="C10" s="103" t="s">
        <v>146</v>
      </c>
      <c r="D10" s="103" t="s">
        <v>46</v>
      </c>
      <c r="E10" s="103" t="s">
        <v>137</v>
      </c>
      <c r="F10" s="102" t="s">
        <v>47</v>
      </c>
      <c r="G10" s="148" t="s">
        <v>117</v>
      </c>
      <c r="H10" s="103" t="s">
        <v>48</v>
      </c>
      <c r="J10" s="100"/>
    </row>
    <row r="11" spans="1:10" ht="15" customHeight="1" x14ac:dyDescent="0.25">
      <c r="A11" s="102">
        <v>1</v>
      </c>
      <c r="B11" s="113" t="s">
        <v>13</v>
      </c>
      <c r="C11" s="104">
        <v>3115</v>
      </c>
      <c r="D11" s="104">
        <v>1</v>
      </c>
      <c r="E11" s="127">
        <v>8974.91</v>
      </c>
      <c r="F11" s="128"/>
      <c r="G11" s="128">
        <v>8974.91</v>
      </c>
      <c r="H11" s="128">
        <v>8974.91</v>
      </c>
    </row>
    <row r="12" spans="1:10" ht="31.5" x14ac:dyDescent="0.25">
      <c r="A12" s="102">
        <v>2</v>
      </c>
      <c r="B12" s="113" t="s">
        <v>113</v>
      </c>
      <c r="C12" s="104">
        <v>8290</v>
      </c>
      <c r="D12" s="104">
        <v>1</v>
      </c>
      <c r="E12" s="128">
        <v>9603.16</v>
      </c>
      <c r="F12" s="128">
        <f>E12*30%</f>
        <v>2880.9479999999999</v>
      </c>
      <c r="G12" s="128">
        <f t="shared" ref="G12:G17" si="0">E12+F12</f>
        <v>12484.108</v>
      </c>
      <c r="H12" s="128">
        <v>12484.11</v>
      </c>
    </row>
    <row r="13" spans="1:10" ht="31.5" x14ac:dyDescent="0.25">
      <c r="A13" s="102">
        <v>3</v>
      </c>
      <c r="B13" s="113" t="s">
        <v>114</v>
      </c>
      <c r="C13" s="104">
        <v>8290</v>
      </c>
      <c r="D13" s="104">
        <v>1</v>
      </c>
      <c r="E13" s="128">
        <v>8705.66</v>
      </c>
      <c r="F13" s="128">
        <f>E13*30%</f>
        <v>2611.6979999999999</v>
      </c>
      <c r="G13" s="128">
        <f t="shared" si="0"/>
        <v>11317.358</v>
      </c>
      <c r="H13" s="128">
        <v>11317.36</v>
      </c>
    </row>
    <row r="14" spans="1:10" ht="42.75" customHeight="1" x14ac:dyDescent="0.25">
      <c r="A14" s="102">
        <v>4</v>
      </c>
      <c r="B14" s="129" t="s">
        <v>115</v>
      </c>
      <c r="C14" s="130">
        <v>8290</v>
      </c>
      <c r="D14" s="130">
        <v>1</v>
      </c>
      <c r="E14" s="131">
        <v>8705.66</v>
      </c>
      <c r="F14" s="131">
        <f>'бюджетний запит'!E14*30%</f>
        <v>2611.6979999999999</v>
      </c>
      <c r="G14" s="131">
        <f t="shared" si="0"/>
        <v>11317.358</v>
      </c>
      <c r="H14" s="131">
        <v>11317.36</v>
      </c>
    </row>
    <row r="15" spans="1:10" ht="57" customHeight="1" x14ac:dyDescent="0.25">
      <c r="A15" s="102">
        <v>5</v>
      </c>
      <c r="B15" s="132" t="s">
        <v>116</v>
      </c>
      <c r="C15" s="109">
        <v>8331</v>
      </c>
      <c r="D15" s="109">
        <v>2</v>
      </c>
      <c r="E15" s="133">
        <v>6910.68</v>
      </c>
      <c r="F15" s="133">
        <f>E15*20%</f>
        <v>1382.1360000000002</v>
      </c>
      <c r="G15" s="133">
        <f t="shared" si="0"/>
        <v>8292.8160000000007</v>
      </c>
      <c r="H15" s="128">
        <f>G15*D15</f>
        <v>16585.632000000001</v>
      </c>
    </row>
    <row r="16" spans="1:10" ht="15.75" x14ac:dyDescent="0.25">
      <c r="A16" s="102">
        <v>6</v>
      </c>
      <c r="B16" s="132" t="s">
        <v>118</v>
      </c>
      <c r="C16" s="109">
        <v>8331</v>
      </c>
      <c r="D16" s="109">
        <v>1</v>
      </c>
      <c r="E16" s="133">
        <v>5384.95</v>
      </c>
      <c r="F16" s="133">
        <f>E16*10%</f>
        <v>538.495</v>
      </c>
      <c r="G16" s="133">
        <f t="shared" si="0"/>
        <v>5923.4449999999997</v>
      </c>
      <c r="H16" s="128">
        <v>5923.45</v>
      </c>
    </row>
    <row r="17" spans="1:8" ht="15.75" x14ac:dyDescent="0.25">
      <c r="A17" s="102">
        <v>7</v>
      </c>
      <c r="B17" s="113" t="s">
        <v>119</v>
      </c>
      <c r="C17" s="104">
        <v>8290</v>
      </c>
      <c r="D17" s="104">
        <v>1</v>
      </c>
      <c r="E17" s="128">
        <v>6910.68</v>
      </c>
      <c r="F17" s="128">
        <f>E17*12%</f>
        <v>829.28160000000003</v>
      </c>
      <c r="G17" s="128">
        <f t="shared" si="0"/>
        <v>7739.9616000000005</v>
      </c>
      <c r="H17" s="128">
        <v>7739.96</v>
      </c>
    </row>
    <row r="18" spans="1:8" ht="15.75" x14ac:dyDescent="0.25">
      <c r="A18" s="102">
        <v>8</v>
      </c>
      <c r="B18" s="134" t="s">
        <v>38</v>
      </c>
      <c r="C18" s="135"/>
      <c r="D18" s="135">
        <v>1</v>
      </c>
      <c r="E18" s="136">
        <v>6548.61</v>
      </c>
      <c r="F18" s="136"/>
      <c r="G18" s="136">
        <v>6548.61</v>
      </c>
      <c r="H18" s="136">
        <v>6548.61</v>
      </c>
    </row>
    <row r="19" spans="1:8" ht="15.75" x14ac:dyDescent="0.25">
      <c r="A19" s="102">
        <v>9</v>
      </c>
      <c r="B19" s="113" t="s">
        <v>91</v>
      </c>
      <c r="C19" s="104">
        <v>3119</v>
      </c>
      <c r="D19" s="104">
        <v>1</v>
      </c>
      <c r="E19" s="128">
        <v>5189.47</v>
      </c>
      <c r="F19" s="128"/>
      <c r="G19" s="128">
        <v>5189.47</v>
      </c>
      <c r="H19" s="128">
        <v>5189.47</v>
      </c>
    </row>
    <row r="20" spans="1:8" ht="35.25" customHeight="1" x14ac:dyDescent="0.25">
      <c r="A20" s="102">
        <v>10</v>
      </c>
      <c r="B20" s="113" t="s">
        <v>120</v>
      </c>
      <c r="C20" s="104">
        <v>1222</v>
      </c>
      <c r="D20" s="104">
        <v>1</v>
      </c>
      <c r="E20" s="128">
        <v>8649.11</v>
      </c>
      <c r="F20" s="128">
        <f>E20*30%</f>
        <v>2594.7330000000002</v>
      </c>
      <c r="G20" s="128">
        <f>E20+F20</f>
        <v>11243.843000000001</v>
      </c>
      <c r="H20" s="128">
        <v>11243.84</v>
      </c>
    </row>
    <row r="21" spans="1:8" ht="31.5" x14ac:dyDescent="0.25">
      <c r="A21" s="102">
        <v>11</v>
      </c>
      <c r="B21" s="114" t="s">
        <v>124</v>
      </c>
      <c r="C21" s="104">
        <v>9162</v>
      </c>
      <c r="D21" s="104">
        <v>10</v>
      </c>
      <c r="E21" s="128">
        <v>5189.47</v>
      </c>
      <c r="F21" s="128">
        <f>E21*10%</f>
        <v>518.947</v>
      </c>
      <c r="G21" s="128">
        <f>E21+F21</f>
        <v>5708.4170000000004</v>
      </c>
      <c r="H21" s="128">
        <f>G21*D21</f>
        <v>57084.170000000006</v>
      </c>
    </row>
    <row r="22" spans="1:8" ht="31.5" x14ac:dyDescent="0.25">
      <c r="A22" s="102">
        <v>12</v>
      </c>
      <c r="B22" s="137" t="s">
        <v>125</v>
      </c>
      <c r="C22" s="130">
        <v>5143</v>
      </c>
      <c r="D22" s="130">
        <v>4</v>
      </c>
      <c r="E22" s="131">
        <v>5189.47</v>
      </c>
      <c r="F22" s="131">
        <f>E22*10%</f>
        <v>518.947</v>
      </c>
      <c r="G22" s="131">
        <f>E22+F22</f>
        <v>5708.4170000000004</v>
      </c>
      <c r="H22" s="131">
        <f>G22*D22</f>
        <v>22833.668000000001</v>
      </c>
    </row>
    <row r="23" spans="1:8" ht="15.75" x14ac:dyDescent="0.25">
      <c r="A23" s="147">
        <v>13</v>
      </c>
      <c r="B23" s="137" t="s">
        <v>126</v>
      </c>
      <c r="C23" s="130">
        <v>9333</v>
      </c>
      <c r="D23" s="130">
        <v>6</v>
      </c>
      <c r="E23" s="131">
        <v>6731.18</v>
      </c>
      <c r="F23" s="131">
        <f>E23*10%</f>
        <v>673.11800000000005</v>
      </c>
      <c r="G23" s="131">
        <f>E23+F23</f>
        <v>7404.2980000000007</v>
      </c>
      <c r="H23" s="131">
        <f>G23*D23</f>
        <v>44425.788</v>
      </c>
    </row>
    <row r="24" spans="1:8" x14ac:dyDescent="0.25">
      <c r="A24" s="202">
        <v>14</v>
      </c>
      <c r="B24" s="199" t="s">
        <v>23</v>
      </c>
      <c r="C24" s="204" t="s">
        <v>127</v>
      </c>
      <c r="D24" s="179">
        <v>2</v>
      </c>
      <c r="E24" s="198">
        <v>5189.47</v>
      </c>
      <c r="F24" s="198"/>
      <c r="G24" s="198">
        <v>5189.47</v>
      </c>
      <c r="H24" s="198">
        <f>G24*D24</f>
        <v>10378.94</v>
      </c>
    </row>
    <row r="25" spans="1:8" x14ac:dyDescent="0.25">
      <c r="A25" s="203"/>
      <c r="B25" s="199"/>
      <c r="C25" s="205"/>
      <c r="D25" s="179"/>
      <c r="E25" s="198"/>
      <c r="F25" s="198"/>
      <c r="G25" s="198"/>
      <c r="H25" s="198"/>
    </row>
    <row r="26" spans="1:8" ht="15.75" x14ac:dyDescent="0.25">
      <c r="A26" s="102">
        <v>15</v>
      </c>
      <c r="B26" s="114" t="s">
        <v>96</v>
      </c>
      <c r="C26" s="150">
        <v>6113</v>
      </c>
      <c r="D26" s="104">
        <v>1</v>
      </c>
      <c r="E26" s="128">
        <v>9036.3799999999992</v>
      </c>
      <c r="F26" s="128"/>
      <c r="G26" s="128">
        <v>9036.3799999999992</v>
      </c>
      <c r="H26" s="128">
        <v>9036.3799999999992</v>
      </c>
    </row>
    <row r="27" spans="1:8" ht="15.75" x14ac:dyDescent="0.25">
      <c r="A27" s="102">
        <v>16</v>
      </c>
      <c r="B27" s="114" t="s">
        <v>94</v>
      </c>
      <c r="C27" s="150">
        <v>6113</v>
      </c>
      <c r="D27" s="104">
        <v>3</v>
      </c>
      <c r="E27" s="128">
        <v>5421.83</v>
      </c>
      <c r="F27" s="128"/>
      <c r="G27" s="128">
        <v>5421.83</v>
      </c>
      <c r="H27" s="128">
        <f>G27*D27</f>
        <v>16265.49</v>
      </c>
    </row>
    <row r="28" spans="1:8" ht="15" customHeight="1" x14ac:dyDescent="0.25">
      <c r="A28" s="206">
        <v>17</v>
      </c>
      <c r="B28" s="207" t="s">
        <v>95</v>
      </c>
      <c r="C28" s="208">
        <v>9162</v>
      </c>
      <c r="D28" s="208">
        <v>2</v>
      </c>
      <c r="E28" s="210">
        <v>5189.47</v>
      </c>
      <c r="F28" s="210"/>
      <c r="G28" s="210">
        <v>5189.47</v>
      </c>
      <c r="H28" s="210">
        <f>E28*D28</f>
        <v>10378.94</v>
      </c>
    </row>
    <row r="29" spans="1:8" ht="9.75" customHeight="1" x14ac:dyDescent="0.25">
      <c r="A29" s="206"/>
      <c r="B29" s="207"/>
      <c r="C29" s="208"/>
      <c r="D29" s="208"/>
      <c r="E29" s="210"/>
      <c r="F29" s="210"/>
      <c r="G29" s="210"/>
      <c r="H29" s="210"/>
    </row>
    <row r="30" spans="1:8" ht="16.5" customHeight="1" x14ac:dyDescent="0.25">
      <c r="A30" s="145">
        <v>18</v>
      </c>
      <c r="B30" s="138" t="s">
        <v>77</v>
      </c>
      <c r="C30" s="139">
        <v>9152</v>
      </c>
      <c r="D30" s="139">
        <v>4</v>
      </c>
      <c r="E30" s="140">
        <v>4324.5600000000004</v>
      </c>
      <c r="F30" s="140"/>
      <c r="G30" s="140">
        <v>4324.5600000000004</v>
      </c>
      <c r="H30" s="140">
        <f>D30*E30</f>
        <v>17298.240000000002</v>
      </c>
    </row>
    <row r="31" spans="1:8" ht="25.5" x14ac:dyDescent="0.25">
      <c r="A31" s="145">
        <v>19</v>
      </c>
      <c r="B31" s="141" t="s">
        <v>128</v>
      </c>
      <c r="C31" s="139">
        <v>9132</v>
      </c>
      <c r="D31" s="139">
        <v>0.3</v>
      </c>
      <c r="E31" s="140">
        <v>5189.47</v>
      </c>
      <c r="F31" s="140">
        <f>E31*10%</f>
        <v>518.947</v>
      </c>
      <c r="G31" s="140">
        <f>E31+F31</f>
        <v>5708.4170000000004</v>
      </c>
      <c r="H31" s="140">
        <f>G31*D31</f>
        <v>1712.5251000000001</v>
      </c>
    </row>
    <row r="32" spans="1:8" ht="15.75" x14ac:dyDescent="0.25">
      <c r="A32" s="145">
        <v>20</v>
      </c>
      <c r="B32" s="142" t="s">
        <v>12</v>
      </c>
      <c r="C32" s="143">
        <v>9132</v>
      </c>
      <c r="D32" s="143">
        <v>1</v>
      </c>
      <c r="E32" s="144">
        <v>6177.94</v>
      </c>
      <c r="F32" s="144" t="s">
        <v>129</v>
      </c>
      <c r="G32" s="144">
        <f>E32*D32</f>
        <v>6177.94</v>
      </c>
      <c r="H32" s="144">
        <v>6177.94</v>
      </c>
    </row>
    <row r="33" spans="1:8" ht="24" customHeight="1" x14ac:dyDescent="0.25">
      <c r="A33" s="145">
        <v>21</v>
      </c>
      <c r="B33" s="134" t="s">
        <v>130</v>
      </c>
      <c r="C33" s="135">
        <v>7233</v>
      </c>
      <c r="D33" s="135">
        <v>3</v>
      </c>
      <c r="E33" s="136">
        <v>6417.06</v>
      </c>
      <c r="F33" s="136"/>
      <c r="G33" s="136">
        <v>6417.06</v>
      </c>
      <c r="H33" s="136">
        <f>E33*D33</f>
        <v>19251.18</v>
      </c>
    </row>
    <row r="34" spans="1:8" ht="15.75" x14ac:dyDescent="0.25">
      <c r="A34" s="145">
        <v>22</v>
      </c>
      <c r="B34" s="134" t="s">
        <v>131</v>
      </c>
      <c r="C34" s="135">
        <v>7241</v>
      </c>
      <c r="D34" s="135">
        <v>3</v>
      </c>
      <c r="E34" s="136">
        <v>6417.06</v>
      </c>
      <c r="F34" s="136"/>
      <c r="G34" s="136">
        <v>6417.06</v>
      </c>
      <c r="H34" s="136">
        <f>E34*D34</f>
        <v>19251.18</v>
      </c>
    </row>
    <row r="35" spans="1:8" ht="15.75" x14ac:dyDescent="0.25">
      <c r="A35" s="158">
        <v>23</v>
      </c>
      <c r="B35" s="159" t="s">
        <v>153</v>
      </c>
      <c r="C35" s="160">
        <v>7231</v>
      </c>
      <c r="D35" s="160">
        <v>1</v>
      </c>
      <c r="E35" s="161">
        <v>6910.68</v>
      </c>
      <c r="F35" s="161"/>
      <c r="G35" s="161">
        <v>6910.68</v>
      </c>
      <c r="H35" s="161">
        <v>6910.68</v>
      </c>
    </row>
    <row r="36" spans="1:8" ht="15.75" x14ac:dyDescent="0.25">
      <c r="A36" s="158">
        <v>24</v>
      </c>
      <c r="B36" s="159" t="s">
        <v>154</v>
      </c>
      <c r="C36" s="160">
        <v>7212</v>
      </c>
      <c r="D36" s="160">
        <v>0.5</v>
      </c>
      <c r="E36" s="162">
        <v>7494.05</v>
      </c>
      <c r="F36" s="161"/>
      <c r="G36" s="161">
        <v>7494.05</v>
      </c>
      <c r="H36" s="161">
        <f>G36*D36</f>
        <v>3747.0250000000001</v>
      </c>
    </row>
    <row r="37" spans="1:8" ht="31.5" x14ac:dyDescent="0.25">
      <c r="A37" s="145">
        <v>25</v>
      </c>
      <c r="B37" s="134" t="s">
        <v>56</v>
      </c>
      <c r="C37" s="135">
        <v>9161</v>
      </c>
      <c r="D37" s="135">
        <v>1</v>
      </c>
      <c r="E37" s="136">
        <v>6596.56</v>
      </c>
      <c r="F37" s="136"/>
      <c r="G37" s="136">
        <v>6596.56</v>
      </c>
      <c r="H37" s="136">
        <v>6596.56</v>
      </c>
    </row>
    <row r="38" spans="1:8" ht="15.75" x14ac:dyDescent="0.25">
      <c r="A38" s="151">
        <v>26</v>
      </c>
      <c r="B38" s="152" t="s">
        <v>152</v>
      </c>
      <c r="C38" s="153">
        <v>1222.2</v>
      </c>
      <c r="D38" s="153">
        <v>2</v>
      </c>
      <c r="E38" s="154">
        <v>8649.11</v>
      </c>
      <c r="F38" s="154">
        <v>864.91</v>
      </c>
      <c r="G38" s="154">
        <f>E38+F38</f>
        <v>9514.02</v>
      </c>
      <c r="H38" s="154">
        <f>G38*D38</f>
        <v>19028.04</v>
      </c>
    </row>
    <row r="39" spans="1:8" ht="16.5" customHeight="1" x14ac:dyDescent="0.25">
      <c r="A39" s="206" t="s">
        <v>69</v>
      </c>
      <c r="B39" s="206"/>
      <c r="C39" s="145"/>
      <c r="D39" s="145">
        <f>SUM(D11:D38)</f>
        <v>54.8</v>
      </c>
      <c r="E39" s="146"/>
      <c r="F39" s="146"/>
      <c r="G39" s="149">
        <f>SUM(G11:G38)</f>
        <v>192250.50859999997</v>
      </c>
      <c r="H39" s="149">
        <f>SUM(H11:H38)</f>
        <v>367701.44809999998</v>
      </c>
    </row>
  </sheetData>
  <mergeCells count="27">
    <mergeCell ref="A2:B2"/>
    <mergeCell ref="F2:H2"/>
    <mergeCell ref="F1:H1"/>
    <mergeCell ref="A39:B39"/>
    <mergeCell ref="A28:A29"/>
    <mergeCell ref="B28:B29"/>
    <mergeCell ref="C28:C29"/>
    <mergeCell ref="D28:D29"/>
    <mergeCell ref="F3:H3"/>
    <mergeCell ref="F4:H4"/>
    <mergeCell ref="A6:H6"/>
    <mergeCell ref="A7:H7"/>
    <mergeCell ref="F28:F29"/>
    <mergeCell ref="G28:G29"/>
    <mergeCell ref="H28:H29"/>
    <mergeCell ref="E28:E29"/>
    <mergeCell ref="G24:G25"/>
    <mergeCell ref="H24:H25"/>
    <mergeCell ref="B24:B25"/>
    <mergeCell ref="D24:D25"/>
    <mergeCell ref="E5:F5"/>
    <mergeCell ref="A8:H8"/>
    <mergeCell ref="A9:H9"/>
    <mergeCell ref="A24:A25"/>
    <mergeCell ref="C24:C25"/>
    <mergeCell ref="E24:E25"/>
    <mergeCell ref="F24:F25"/>
  </mergeCells>
  <pageMargins left="0.2" right="0.2" top="0.2" bottom="0.31" header="0.2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розрахунок</vt:lpstr>
      <vt:lpstr>штатний</vt:lpstr>
      <vt:lpstr>бюджетний запит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2019-02-26T14:01:17Z</dcterms:modified>
</cp:coreProperties>
</file>